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Formula Rates/Transmission Formula Rates/West OpCos - SPP OATT Attach H-4/Rate Year 2024/True Up (ATRR)/As Filed/"/>
    </mc:Choice>
  </mc:AlternateContent>
  <xr:revisionPtr revIDLastSave="5" documentId="8_{5FDBDFB6-7C43-4C81-9862-DD546A7D5E79}" xr6:coauthVersionLast="47" xr6:coauthVersionMax="47" xr10:uidLastSave="{3D4D9DB1-4331-4492-9047-F812DFDA648F}"/>
  <bookViews>
    <workbookView xWindow="28680" yWindow="-120" windowWidth="24240" windowHeight="1302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Instructions!$A$1:$R$18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K1" i="18" l="1"/>
  <c r="B79" i="18"/>
  <c r="B78" i="18"/>
  <c r="B77" i="18"/>
  <c r="B76" i="18"/>
  <c r="B75" i="18"/>
  <c r="B74" i="18"/>
  <c r="B73" i="18"/>
  <c r="B72" i="18"/>
  <c r="B71" i="18"/>
  <c r="B70" i="18"/>
  <c r="B69" i="18"/>
  <c r="B68" i="18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61" i="18" s="1"/>
  <c r="C85" i="18" s="1"/>
  <c r="C97" i="18" s="1"/>
  <c r="C109" i="18" s="1"/>
  <c r="C121" i="18" s="1"/>
  <c r="C133" i="18" s="1"/>
  <c r="C145" i="18" s="1"/>
  <c r="C157" i="18" s="1"/>
  <c r="C181" i="18" s="1"/>
  <c r="C193" i="18" s="1"/>
  <c r="C205" i="18" s="1"/>
  <c r="B169" i="18"/>
  <c r="B168" i="18"/>
  <c r="B167" i="18"/>
  <c r="B166" i="18"/>
  <c r="C33" i="18"/>
  <c r="C45" i="18" s="1"/>
  <c r="B165" i="18"/>
  <c r="C32" i="18"/>
  <c r="C44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C3" i="29"/>
  <c r="H36" i="29"/>
  <c r="G29" i="29"/>
  <c r="H35" i="29"/>
  <c r="H27" i="29"/>
  <c r="H25" i="29"/>
  <c r="G26" i="29"/>
  <c r="E36" i="29"/>
  <c r="G22" i="29"/>
  <c r="H24" i="29"/>
  <c r="G21" i="29"/>
  <c r="H22" i="29"/>
  <c r="G35" i="29"/>
  <c r="E26" i="29"/>
  <c r="E31" i="29"/>
  <c r="E30" i="29"/>
  <c r="H28" i="29"/>
  <c r="G36" i="29"/>
  <c r="H23" i="29"/>
  <c r="H33" i="29"/>
  <c r="E22" i="29"/>
  <c r="E29" i="29"/>
  <c r="E25" i="29"/>
  <c r="H32" i="29"/>
  <c r="G23" i="29"/>
  <c r="E21" i="29"/>
  <c r="H29" i="29"/>
  <c r="G24" i="29"/>
  <c r="G30" i="29"/>
  <c r="E32" i="29"/>
  <c r="E37" i="29"/>
  <c r="G28" i="29"/>
  <c r="E27" i="29"/>
  <c r="H30" i="29"/>
  <c r="D30" i="29"/>
  <c r="E35" i="29"/>
  <c r="E24" i="29"/>
  <c r="G25" i="29"/>
  <c r="H37" i="29"/>
  <c r="G32" i="29"/>
  <c r="E28" i="29"/>
  <c r="H26" i="29"/>
  <c r="G27" i="29"/>
  <c r="G37" i="29"/>
  <c r="H21" i="29"/>
  <c r="H31" i="29"/>
  <c r="G31" i="29"/>
  <c r="E33" i="29"/>
  <c r="G33" i="29"/>
  <c r="E23" i="29"/>
  <c r="C49" i="18" l="1"/>
  <c r="C54" i="18"/>
  <c r="D53" i="18"/>
  <c r="D79" i="18"/>
  <c r="C63" i="18"/>
  <c r="C87" i="18" s="1"/>
  <c r="C99" i="18" s="1"/>
  <c r="C111" i="18" s="1"/>
  <c r="C123" i="18" s="1"/>
  <c r="C135" i="18" s="1"/>
  <c r="C147" i="18" s="1"/>
  <c r="C159" i="18" s="1"/>
  <c r="C183" i="18" s="1"/>
  <c r="C195" i="18" s="1"/>
  <c r="C207" i="18" s="1"/>
  <c r="C57" i="18"/>
  <c r="C81" i="18" s="1"/>
  <c r="C93" i="18" s="1"/>
  <c r="C105" i="18" s="1"/>
  <c r="C117" i="18" s="1"/>
  <c r="C129" i="18" s="1"/>
  <c r="C141" i="18" s="1"/>
  <c r="C153" i="18" s="1"/>
  <c r="C165" i="18" s="1"/>
  <c r="D55" i="18"/>
  <c r="D66" i="18"/>
  <c r="D78" i="18" s="1"/>
  <c r="C64" i="18"/>
  <c r="C76" i="18" s="1"/>
  <c r="C56" i="18"/>
  <c r="C80" i="18" s="1"/>
  <c r="C92" i="18" s="1"/>
  <c r="C104" i="18" s="1"/>
  <c r="C116" i="18" s="1"/>
  <c r="C128" i="18" s="1"/>
  <c r="C140" i="18" s="1"/>
  <c r="C152" i="18" s="1"/>
  <c r="C176" i="18" s="1"/>
  <c r="C188" i="18" s="1"/>
  <c r="C200" i="18" s="1"/>
  <c r="D63" i="18"/>
  <c r="D87" i="18" s="1"/>
  <c r="D99" i="18" s="1"/>
  <c r="D111" i="18" s="1"/>
  <c r="D123" i="18" s="1"/>
  <c r="D135" i="18" s="1"/>
  <c r="D147" i="18" s="1"/>
  <c r="D159" i="18" s="1"/>
  <c r="D171" i="18" s="1"/>
  <c r="C53" i="18"/>
  <c r="D50" i="18"/>
  <c r="C73" i="18"/>
  <c r="F10" i="29"/>
  <c r="E20" i="29"/>
  <c r="D20" i="29"/>
  <c r="E10" i="29"/>
  <c r="C78" i="18"/>
  <c r="C90" i="18"/>
  <c r="C102" i="18" s="1"/>
  <c r="C114" i="18" s="1"/>
  <c r="C126" i="18" s="1"/>
  <c r="C138" i="18" s="1"/>
  <c r="C150" i="18" s="1"/>
  <c r="C162" i="18" s="1"/>
  <c r="C174" i="18" s="1"/>
  <c r="C72" i="18"/>
  <c r="D46" i="18"/>
  <c r="D57" i="18"/>
  <c r="D81" i="18" s="1"/>
  <c r="D93" i="18" s="1"/>
  <c r="D105" i="18" s="1"/>
  <c r="D117" i="18" s="1"/>
  <c r="D129" i="18" s="1"/>
  <c r="D141" i="18" s="1"/>
  <c r="D153" i="18" s="1"/>
  <c r="O13" i="18"/>
  <c r="C67" i="18"/>
  <c r="C91" i="18" s="1"/>
  <c r="C103" i="18" s="1"/>
  <c r="C115" i="18" s="1"/>
  <c r="C127" i="18" s="1"/>
  <c r="C139" i="18" s="1"/>
  <c r="C151" i="18" s="1"/>
  <c r="C163" i="18" s="1"/>
  <c r="D77" i="18"/>
  <c r="D89" i="18"/>
  <c r="D101" i="18" s="1"/>
  <c r="D113" i="18" s="1"/>
  <c r="D125" i="18" s="1"/>
  <c r="D137" i="18" s="1"/>
  <c r="D149" i="18" s="1"/>
  <c r="D161" i="18" s="1"/>
  <c r="D185" i="18" s="1"/>
  <c r="D197" i="18" s="1"/>
  <c r="D209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D56" i="18"/>
  <c r="D80" i="18" s="1"/>
  <c r="D92" i="18" s="1"/>
  <c r="D104" i="18" s="1"/>
  <c r="D116" i="18" s="1"/>
  <c r="D128" i="18" s="1"/>
  <c r="D140" i="18" s="1"/>
  <c r="D152" i="18" s="1"/>
  <c r="F30" i="29"/>
  <c r="I30" i="29" s="1"/>
  <c r="H34" i="29"/>
  <c r="G34" i="29"/>
  <c r="E34" i="29"/>
  <c r="H38" i="29"/>
  <c r="E38" i="29"/>
  <c r="G38" i="29"/>
  <c r="C180" i="18"/>
  <c r="C192" i="18" s="1"/>
  <c r="C204" i="18" s="1"/>
  <c r="C168" i="18"/>
  <c r="O14" i="18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4" i="18"/>
  <c r="D52" i="18"/>
  <c r="D24" i="29"/>
  <c r="D23" i="29"/>
  <c r="D37" i="29"/>
  <c r="D31" i="29"/>
  <c r="D36" i="29"/>
  <c r="D35" i="29"/>
  <c r="D25" i="29"/>
  <c r="D26" i="29"/>
  <c r="D22" i="29"/>
  <c r="D33" i="29"/>
  <c r="D27" i="29"/>
  <c r="D28" i="29"/>
  <c r="D21" i="29"/>
  <c r="D32" i="29"/>
  <c r="D29" i="29"/>
  <c r="F28" i="29" l="1"/>
  <c r="I28" i="29" s="1"/>
  <c r="C164" i="18"/>
  <c r="C79" i="18"/>
  <c r="D173" i="18"/>
  <c r="C68" i="18"/>
  <c r="C69" i="18"/>
  <c r="C171" i="18"/>
  <c r="F37" i="29"/>
  <c r="I37" i="29" s="1"/>
  <c r="F31" i="29"/>
  <c r="I31" i="29" s="1"/>
  <c r="F22" i="29"/>
  <c r="I22" i="29" s="1"/>
  <c r="F26" i="29"/>
  <c r="I26" i="29" s="1"/>
  <c r="F35" i="29"/>
  <c r="I35" i="29" s="1"/>
  <c r="D38" i="29"/>
  <c r="F24" i="29"/>
  <c r="I24" i="29" s="1"/>
  <c r="F21" i="29"/>
  <c r="I21" i="29" s="1"/>
  <c r="D34" i="29"/>
  <c r="F29" i="29"/>
  <c r="I29" i="29" s="1"/>
  <c r="F27" i="29"/>
  <c r="I27" i="29" s="1"/>
  <c r="F33" i="29"/>
  <c r="I33" i="29" s="1"/>
  <c r="F36" i="29"/>
  <c r="I36" i="29" s="1"/>
  <c r="F25" i="29"/>
  <c r="I25" i="29" s="1"/>
  <c r="F23" i="29"/>
  <c r="I23" i="29" s="1"/>
  <c r="F32" i="29"/>
  <c r="I32" i="29" s="1"/>
  <c r="C88" i="18"/>
  <c r="C100" i="18" s="1"/>
  <c r="C112" i="18" s="1"/>
  <c r="C124" i="18" s="1"/>
  <c r="C136" i="18" s="1"/>
  <c r="C148" i="18" s="1"/>
  <c r="C160" i="18" s="1"/>
  <c r="C172" i="18" s="1"/>
  <c r="C75" i="18"/>
  <c r="D69" i="18"/>
  <c r="D182" i="18"/>
  <c r="D194" i="18" s="1"/>
  <c r="D206" i="18" s="1"/>
  <c r="D90" i="18"/>
  <c r="D102" i="18" s="1"/>
  <c r="D114" i="18" s="1"/>
  <c r="D126" i="18" s="1"/>
  <c r="D138" i="18" s="1"/>
  <c r="D150" i="18" s="1"/>
  <c r="D162" i="18" s="1"/>
  <c r="D174" i="18" s="1"/>
  <c r="D183" i="18"/>
  <c r="D195" i="18" s="1"/>
  <c r="D207" i="18" s="1"/>
  <c r="C177" i="18"/>
  <c r="C189" i="18" s="1"/>
  <c r="C201" i="18" s="1"/>
  <c r="C186" i="18"/>
  <c r="C198" i="18" s="1"/>
  <c r="C210" i="18" s="1"/>
  <c r="D75" i="18"/>
  <c r="D84" i="18"/>
  <c r="D96" i="18" s="1"/>
  <c r="D108" i="18" s="1"/>
  <c r="D120" i="18" s="1"/>
  <c r="D132" i="18" s="1"/>
  <c r="D144" i="18" s="1"/>
  <c r="D156" i="18" s="1"/>
  <c r="D180" i="18" s="1"/>
  <c r="D192" i="18" s="1"/>
  <c r="D204" i="18" s="1"/>
  <c r="D68" i="18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H39" i="29"/>
  <c r="D186" i="18" l="1"/>
  <c r="D198" i="18" s="1"/>
  <c r="D210" i="18" s="1"/>
  <c r="D39" i="29"/>
  <c r="C184" i="18"/>
  <c r="C196" i="18" s="1"/>
  <c r="C208" i="18" s="1"/>
  <c r="F38" i="29"/>
  <c r="F34" i="29"/>
  <c r="D168" i="18"/>
  <c r="Q13" i="18"/>
  <c r="Q14" i="18"/>
  <c r="C170" i="18"/>
  <c r="C182" i="18"/>
  <c r="C194" i="18" s="1"/>
  <c r="C206" i="18" s="1"/>
  <c r="C178" i="18"/>
  <c r="C190" i="18" s="1"/>
  <c r="C202" i="18" s="1"/>
  <c r="C166" i="18"/>
  <c r="I34" i="29"/>
  <c r="I38" i="29"/>
  <c r="C167" i="18"/>
  <c r="C179" i="18"/>
  <c r="C191" i="18" s="1"/>
  <c r="C203" i="18" s="1"/>
  <c r="D184" i="18"/>
  <c r="D196" i="18" s="1"/>
  <c r="D208" i="18" s="1"/>
  <c r="D172" i="18"/>
  <c r="F39" i="29" l="1"/>
  <c r="I39" i="29"/>
  <c r="E11" i="29" l="1"/>
  <c r="H211" i="18" l="1"/>
  <c r="H21" i="18"/>
  <c r="H53" i="18"/>
  <c r="H85" i="18"/>
  <c r="H117" i="18"/>
  <c r="H149" i="18"/>
  <c r="H181" i="18"/>
  <c r="H28" i="18"/>
  <c r="H76" i="18"/>
  <c r="H156" i="18"/>
  <c r="H208" i="18"/>
  <c r="H50" i="18"/>
  <c r="H82" i="18"/>
  <c r="H114" i="18"/>
  <c r="H146" i="18"/>
  <c r="H178" i="18"/>
  <c r="H210" i="18"/>
  <c r="H84" i="18"/>
  <c r="H144" i="18"/>
  <c r="H23" i="18"/>
  <c r="H55" i="18"/>
  <c r="H87" i="18"/>
  <c r="H119" i="18"/>
  <c r="H151" i="18"/>
  <c r="H183" i="18"/>
  <c r="H157" i="18"/>
  <c r="H96" i="18"/>
  <c r="H58" i="18"/>
  <c r="H122" i="18"/>
  <c r="H100" i="18"/>
  <c r="H31" i="18"/>
  <c r="H159" i="18"/>
  <c r="H25" i="18"/>
  <c r="H57" i="18"/>
  <c r="H89" i="18"/>
  <c r="H121" i="18"/>
  <c r="H153" i="18"/>
  <c r="H185" i="18"/>
  <c r="H36" i="18"/>
  <c r="H92" i="18"/>
  <c r="H160" i="18"/>
  <c r="H22" i="18"/>
  <c r="H54" i="18"/>
  <c r="H86" i="18"/>
  <c r="H118" i="18"/>
  <c r="H150" i="18"/>
  <c r="H182" i="18"/>
  <c r="H20" i="18"/>
  <c r="H88" i="18"/>
  <c r="H148" i="18"/>
  <c r="H27" i="18"/>
  <c r="H59" i="18"/>
  <c r="H91" i="18"/>
  <c r="H123" i="18"/>
  <c r="H155" i="18"/>
  <c r="H187" i="18"/>
  <c r="H125" i="18"/>
  <c r="H168" i="18"/>
  <c r="H90" i="18"/>
  <c r="H154" i="18"/>
  <c r="H24" i="18"/>
  <c r="H152" i="18"/>
  <c r="H63" i="18"/>
  <c r="H29" i="18"/>
  <c r="H61" i="18"/>
  <c r="H93" i="18"/>
  <c r="H189" i="18"/>
  <c r="H44" i="18"/>
  <c r="H26" i="18"/>
  <c r="H186" i="18"/>
  <c r="H33" i="18"/>
  <c r="H65" i="18"/>
  <c r="H97" i="18"/>
  <c r="H129" i="18"/>
  <c r="H161" i="18"/>
  <c r="H193" i="18"/>
  <c r="H52" i="18"/>
  <c r="H108" i="18"/>
  <c r="H180" i="18"/>
  <c r="H30" i="18"/>
  <c r="H62" i="18"/>
  <c r="H94" i="18"/>
  <c r="H126" i="18"/>
  <c r="H158" i="18"/>
  <c r="H190" i="18"/>
  <c r="H32" i="18"/>
  <c r="H104" i="18"/>
  <c r="H164" i="18"/>
  <c r="H35" i="18"/>
  <c r="H67" i="18"/>
  <c r="H99" i="18"/>
  <c r="H131" i="18"/>
  <c r="H163" i="18"/>
  <c r="H195" i="18"/>
  <c r="H39" i="18"/>
  <c r="H103" i="18"/>
  <c r="H167" i="18"/>
  <c r="H203" i="18"/>
  <c r="H81" i="18"/>
  <c r="H177" i="18"/>
  <c r="H200" i="18"/>
  <c r="H142" i="18"/>
  <c r="H204" i="18"/>
  <c r="H179" i="18"/>
  <c r="H37" i="18"/>
  <c r="H69" i="18"/>
  <c r="H101" i="18"/>
  <c r="H133" i="18"/>
  <c r="H165" i="18"/>
  <c r="H197" i="18"/>
  <c r="H56" i="18"/>
  <c r="H116" i="18"/>
  <c r="H184" i="18"/>
  <c r="H34" i="18"/>
  <c r="H66" i="18"/>
  <c r="H98" i="18"/>
  <c r="H130" i="18"/>
  <c r="H162" i="18"/>
  <c r="H194" i="18"/>
  <c r="H40" i="18"/>
  <c r="H112" i="18"/>
  <c r="H172" i="18"/>
  <c r="H71" i="18"/>
  <c r="H135" i="18"/>
  <c r="H199" i="18"/>
  <c r="H113" i="18"/>
  <c r="H136" i="18"/>
  <c r="H110" i="18"/>
  <c r="H80" i="18"/>
  <c r="H83" i="18"/>
  <c r="H127" i="18"/>
  <c r="H41" i="18"/>
  <c r="H73" i="18"/>
  <c r="H105" i="18"/>
  <c r="H137" i="18"/>
  <c r="H169" i="18"/>
  <c r="H201" i="18"/>
  <c r="H60" i="18"/>
  <c r="H124" i="18"/>
  <c r="H192" i="18"/>
  <c r="H38" i="18"/>
  <c r="H70" i="18"/>
  <c r="H102" i="18"/>
  <c r="H134" i="18"/>
  <c r="H166" i="18"/>
  <c r="H198" i="18"/>
  <c r="H48" i="18"/>
  <c r="H120" i="18"/>
  <c r="H176" i="18"/>
  <c r="H43" i="18"/>
  <c r="H75" i="18"/>
  <c r="H107" i="18"/>
  <c r="H139" i="18"/>
  <c r="H171" i="18"/>
  <c r="H145" i="18"/>
  <c r="H72" i="18"/>
  <c r="H78" i="18"/>
  <c r="H174" i="18"/>
  <c r="H140" i="18"/>
  <c r="H115" i="18"/>
  <c r="H95" i="18"/>
  <c r="H45" i="18"/>
  <c r="H77" i="18"/>
  <c r="H109" i="18"/>
  <c r="H141" i="18"/>
  <c r="H173" i="18"/>
  <c r="H205" i="18"/>
  <c r="H64" i="18"/>
  <c r="H128" i="18"/>
  <c r="H196" i="18"/>
  <c r="H42" i="18"/>
  <c r="H74" i="18"/>
  <c r="H106" i="18"/>
  <c r="H138" i="18"/>
  <c r="H170" i="18"/>
  <c r="H202" i="18"/>
  <c r="H68" i="18"/>
  <c r="H132" i="18"/>
  <c r="H188" i="18"/>
  <c r="H47" i="18"/>
  <c r="H79" i="18"/>
  <c r="H111" i="18"/>
  <c r="H143" i="18"/>
  <c r="H175" i="18"/>
  <c r="H207" i="18"/>
  <c r="H49" i="18"/>
  <c r="H209" i="18"/>
  <c r="H46" i="18"/>
  <c r="H206" i="18"/>
  <c r="H51" i="18"/>
  <c r="H147" i="18"/>
  <c r="H191" i="18"/>
  <c r="E13" i="29"/>
  <c r="K21" i="18" l="1"/>
  <c r="K29" i="18"/>
  <c r="K61" i="18"/>
  <c r="K77" i="18"/>
  <c r="K93" i="18"/>
  <c r="K109" i="18"/>
  <c r="K125" i="18"/>
  <c r="K141" i="18"/>
  <c r="K24" i="18"/>
  <c r="K32" i="18"/>
  <c r="K48" i="18"/>
  <c r="K72" i="18"/>
  <c r="K88" i="18"/>
  <c r="K96" i="18"/>
  <c r="K112" i="18"/>
  <c r="K120" i="18"/>
  <c r="K128" i="18"/>
  <c r="K136" i="18"/>
  <c r="K152" i="18"/>
  <c r="K176" i="18"/>
  <c r="K184" i="18"/>
  <c r="K200" i="18"/>
  <c r="K89" i="18"/>
  <c r="K121" i="18"/>
  <c r="K145" i="18"/>
  <c r="K169" i="18"/>
  <c r="K193" i="18"/>
  <c r="K209" i="18"/>
  <c r="K26" i="18"/>
  <c r="K42" i="18"/>
  <c r="K50" i="18"/>
  <c r="K66" i="18"/>
  <c r="K74" i="18"/>
  <c r="K82" i="18"/>
  <c r="K106" i="18"/>
  <c r="K122" i="18"/>
  <c r="K130" i="18"/>
  <c r="K146" i="18"/>
  <c r="K162" i="18"/>
  <c r="K170" i="18"/>
  <c r="K186" i="18"/>
  <c r="K202" i="18"/>
  <c r="K27" i="18"/>
  <c r="K35" i="18"/>
  <c r="K43" i="18"/>
  <c r="K51" i="18"/>
  <c r="K59" i="18"/>
  <c r="K67" i="18"/>
  <c r="K75" i="18"/>
  <c r="K83" i="18"/>
  <c r="K91" i="18"/>
  <c r="K99" i="18"/>
  <c r="K107" i="18"/>
  <c r="K115" i="18"/>
  <c r="K123" i="18"/>
  <c r="K131" i="18"/>
  <c r="K139" i="18"/>
  <c r="K147" i="18"/>
  <c r="K155" i="18"/>
  <c r="K163" i="18"/>
  <c r="K171" i="18"/>
  <c r="K179" i="18"/>
  <c r="K187" i="18"/>
  <c r="K195" i="18"/>
  <c r="K203" i="18"/>
  <c r="K211" i="18"/>
  <c r="K45" i="18"/>
  <c r="K40" i="18"/>
  <c r="K56" i="18"/>
  <c r="K64" i="18"/>
  <c r="K80" i="18"/>
  <c r="K104" i="18"/>
  <c r="K144" i="18"/>
  <c r="K160" i="18"/>
  <c r="K168" i="18"/>
  <c r="K192" i="18"/>
  <c r="K208" i="18"/>
  <c r="K25" i="18"/>
  <c r="K33" i="18"/>
  <c r="K41" i="18"/>
  <c r="K49" i="18"/>
  <c r="K57" i="18"/>
  <c r="K65" i="18"/>
  <c r="K73" i="18"/>
  <c r="K81" i="18"/>
  <c r="K97" i="18"/>
  <c r="K105" i="18"/>
  <c r="K113" i="18"/>
  <c r="K129" i="18"/>
  <c r="K137" i="18"/>
  <c r="K153" i="18"/>
  <c r="K161" i="18"/>
  <c r="K177" i="18"/>
  <c r="K185" i="18"/>
  <c r="K201" i="18"/>
  <c r="K34" i="18"/>
  <c r="K58" i="18"/>
  <c r="K90" i="18"/>
  <c r="K98" i="18"/>
  <c r="K114" i="18"/>
  <c r="K138" i="18"/>
  <c r="K154" i="18"/>
  <c r="K178" i="18"/>
  <c r="K194" i="18"/>
  <c r="K210" i="18"/>
  <c r="G212" i="18"/>
  <c r="K20" i="18"/>
  <c r="K28" i="18"/>
  <c r="K36" i="18"/>
  <c r="K44" i="18"/>
  <c r="K52" i="18"/>
  <c r="K60" i="18"/>
  <c r="K68" i="18"/>
  <c r="K76" i="18"/>
  <c r="K84" i="18"/>
  <c r="K92" i="18"/>
  <c r="K100" i="18"/>
  <c r="K108" i="18"/>
  <c r="K116" i="18"/>
  <c r="K124" i="18"/>
  <c r="K132" i="18"/>
  <c r="K140" i="18"/>
  <c r="K148" i="18"/>
  <c r="K156" i="18"/>
  <c r="K164" i="18"/>
  <c r="K172" i="18"/>
  <c r="K180" i="18"/>
  <c r="K188" i="18"/>
  <c r="K196" i="18"/>
  <c r="K204" i="18"/>
  <c r="K37" i="18"/>
  <c r="K53" i="18"/>
  <c r="K69" i="18"/>
  <c r="K85" i="18"/>
  <c r="K101" i="18"/>
  <c r="K117" i="18"/>
  <c r="K133" i="18"/>
  <c r="K149" i="18"/>
  <c r="K157" i="18"/>
  <c r="K165" i="18"/>
  <c r="K173" i="18"/>
  <c r="K181" i="18"/>
  <c r="K189" i="18"/>
  <c r="K197" i="18"/>
  <c r="K205" i="18"/>
  <c r="K22" i="18"/>
  <c r="K30" i="18"/>
  <c r="K38" i="18"/>
  <c r="K46" i="18"/>
  <c r="K54" i="18"/>
  <c r="K62" i="18"/>
  <c r="K70" i="18"/>
  <c r="K78" i="18"/>
  <c r="K86" i="18"/>
  <c r="K94" i="18"/>
  <c r="K102" i="18"/>
  <c r="K110" i="18"/>
  <c r="K118" i="18"/>
  <c r="K126" i="18"/>
  <c r="K134" i="18"/>
  <c r="K142" i="18"/>
  <c r="K150" i="18"/>
  <c r="K158" i="18"/>
  <c r="K166" i="18"/>
  <c r="K174" i="18"/>
  <c r="K182" i="18"/>
  <c r="K190" i="18"/>
  <c r="K198" i="18"/>
  <c r="K206" i="18"/>
  <c r="K23" i="18"/>
  <c r="K31" i="18"/>
  <c r="K39" i="18"/>
  <c r="K47" i="18"/>
  <c r="K55" i="18"/>
  <c r="K63" i="18"/>
  <c r="K71" i="18"/>
  <c r="K79" i="18"/>
  <c r="K87" i="18"/>
  <c r="K95" i="18"/>
  <c r="K103" i="18"/>
  <c r="K111" i="18"/>
  <c r="K119" i="18"/>
  <c r="K127" i="18"/>
  <c r="K135" i="18"/>
  <c r="K143" i="18"/>
  <c r="K151" i="18"/>
  <c r="K159" i="18"/>
  <c r="K167" i="18"/>
  <c r="K175" i="18"/>
  <c r="K183" i="18"/>
  <c r="K191" i="18"/>
  <c r="K199" i="18"/>
  <c r="K207" i="18"/>
  <c r="K14" i="18" l="1"/>
  <c r="K212" i="18"/>
  <c r="K13" i="18"/>
  <c r="F12" i="29" l="1"/>
  <c r="M150" i="18" l="1"/>
  <c r="M103" i="18"/>
  <c r="M99" i="18"/>
  <c r="M23" i="18"/>
  <c r="M28" i="18"/>
  <c r="M67" i="18"/>
  <c r="M135" i="18"/>
  <c r="M114" i="18"/>
  <c r="M97" i="18"/>
  <c r="M111" i="18"/>
  <c r="M144" i="18"/>
  <c r="M190" i="18"/>
  <c r="M208" i="18"/>
  <c r="M98" i="18"/>
  <c r="M32" i="18"/>
  <c r="M155" i="18"/>
  <c r="M207" i="18"/>
  <c r="M140" i="18"/>
  <c r="M187" i="18"/>
  <c r="M109" i="18"/>
  <c r="M153" i="18"/>
  <c r="M65" i="18"/>
  <c r="M169" i="18"/>
  <c r="M132" i="18"/>
  <c r="M156" i="18"/>
  <c r="M53" i="18"/>
  <c r="M131" i="18"/>
  <c r="M76" i="18"/>
  <c r="M126" i="18"/>
  <c r="M175" i="18"/>
  <c r="M107" i="18"/>
  <c r="M194" i="18"/>
  <c r="M71" i="18"/>
  <c r="M49" i="18"/>
  <c r="M180" i="18"/>
  <c r="M95" i="18"/>
  <c r="M26" i="18"/>
  <c r="M70" i="18"/>
  <c r="M167" i="18"/>
  <c r="M75" i="18"/>
  <c r="M149" i="18"/>
  <c r="M164" i="18"/>
  <c r="M142" i="18"/>
  <c r="M35" i="18"/>
  <c r="M198" i="18"/>
  <c r="M48" i="18"/>
  <c r="M133" i="18"/>
  <c r="M146" i="18"/>
  <c r="M78" i="18"/>
  <c r="M119" i="18"/>
  <c r="M120" i="18"/>
  <c r="M163" i="18"/>
  <c r="M55" i="18"/>
  <c r="M124" i="18"/>
  <c r="M104" i="18"/>
  <c r="M199" i="18"/>
  <c r="M36" i="18"/>
  <c r="M115" i="18"/>
  <c r="M46" i="18"/>
  <c r="M24" i="18"/>
  <c r="M101" i="18"/>
  <c r="M43" i="18"/>
  <c r="M45" i="18"/>
  <c r="M85" i="18"/>
  <c r="M193" i="18"/>
  <c r="M196" i="18"/>
  <c r="M129" i="18"/>
  <c r="M50" i="18"/>
  <c r="M204" i="18"/>
  <c r="M116" i="18"/>
  <c r="M91" i="18"/>
  <c r="M54" i="18"/>
  <c r="M178" i="18"/>
  <c r="M209" i="18"/>
  <c r="M205" i="18"/>
  <c r="M90" i="18"/>
  <c r="M74" i="18"/>
  <c r="M165" i="18"/>
  <c r="M197" i="18"/>
  <c r="M168" i="18"/>
  <c r="M93" i="18"/>
  <c r="M154" i="18"/>
  <c r="M37" i="18"/>
  <c r="M118" i="18"/>
  <c r="M157" i="18"/>
  <c r="M181" i="18"/>
  <c r="M172" i="18"/>
  <c r="M174" i="18"/>
  <c r="M186" i="18"/>
  <c r="M73" i="18"/>
  <c r="M20" i="18"/>
  <c r="M44" i="18"/>
  <c r="M171" i="18"/>
  <c r="M69" i="18"/>
  <c r="M183" i="18"/>
  <c r="M176" i="18"/>
  <c r="M40" i="18"/>
  <c r="M87" i="18"/>
  <c r="M117" i="18"/>
  <c r="M34" i="18"/>
  <c r="M141" i="18"/>
  <c r="M33" i="18"/>
  <c r="M200" i="18"/>
  <c r="M100" i="18"/>
  <c r="M47" i="18"/>
  <c r="M125" i="18"/>
  <c r="M88" i="18"/>
  <c r="M106" i="18"/>
  <c r="M138" i="18"/>
  <c r="M127" i="18"/>
  <c r="M105" i="18"/>
  <c r="M139" i="18"/>
  <c r="M159" i="18"/>
  <c r="M58" i="18"/>
  <c r="M211" i="18"/>
  <c r="M152" i="18"/>
  <c r="M108" i="18"/>
  <c r="M162" i="18"/>
  <c r="M161" i="18"/>
  <c r="M42" i="18"/>
  <c r="M89" i="18"/>
  <c r="M177" i="18"/>
  <c r="M158" i="18"/>
  <c r="M39" i="18"/>
  <c r="M31" i="18"/>
  <c r="M136" i="18"/>
  <c r="M82" i="18"/>
  <c r="M21" i="18"/>
  <c r="M184" i="18"/>
  <c r="M72" i="18"/>
  <c r="M192" i="18"/>
  <c r="M27" i="18"/>
  <c r="M206" i="18"/>
  <c r="M64" i="18"/>
  <c r="M143" i="18"/>
  <c r="M166" i="18"/>
  <c r="M77" i="18"/>
  <c r="M128" i="18"/>
  <c r="M86" i="18"/>
  <c r="M179" i="18"/>
  <c r="M147" i="18"/>
  <c r="M60" i="18"/>
  <c r="M121" i="18"/>
  <c r="M41" i="18"/>
  <c r="M151" i="18"/>
  <c r="M38" i="18"/>
  <c r="M92" i="18"/>
  <c r="M170" i="18"/>
  <c r="M59" i="18"/>
  <c r="M22" i="18"/>
  <c r="M80" i="18"/>
  <c r="M173" i="18"/>
  <c r="M57" i="18"/>
  <c r="M79" i="18"/>
  <c r="M191" i="18"/>
  <c r="M56" i="18"/>
  <c r="M62" i="18"/>
  <c r="M123" i="18"/>
  <c r="M145" i="18"/>
  <c r="M94" i="18"/>
  <c r="M203" i="18"/>
  <c r="M29" i="18"/>
  <c r="M63" i="18"/>
  <c r="M81" i="18"/>
  <c r="M61" i="18"/>
  <c r="M188" i="18"/>
  <c r="M134" i="18"/>
  <c r="M112" i="18"/>
  <c r="M25" i="18"/>
  <c r="M83" i="18"/>
  <c r="M130" i="18"/>
  <c r="M148" i="18"/>
  <c r="M189" i="18"/>
  <c r="M66" i="18"/>
  <c r="M195" i="18"/>
  <c r="M51" i="18"/>
  <c r="M68" i="18"/>
  <c r="M110" i="18"/>
  <c r="M52" i="18"/>
  <c r="M122" i="18"/>
  <c r="M102" i="18"/>
  <c r="M96" i="18"/>
  <c r="M160" i="18"/>
  <c r="M30" i="18"/>
  <c r="M137" i="18"/>
  <c r="M182" i="18"/>
  <c r="M113" i="18"/>
  <c r="M210" i="18"/>
  <c r="M202" i="18"/>
  <c r="M201" i="18"/>
  <c r="M185" i="18"/>
  <c r="M84" i="18"/>
  <c r="M13" i="18" l="1"/>
  <c r="M212" i="18"/>
  <c r="I137" i="18" l="1"/>
  <c r="J137" i="18" s="1"/>
  <c r="L137" i="18" s="1"/>
  <c r="N137" i="18" s="1"/>
  <c r="R137" i="18" s="1"/>
  <c r="I29" i="18"/>
  <c r="J29" i="18" s="1"/>
  <c r="L29" i="18" s="1"/>
  <c r="N29" i="18" s="1"/>
  <c r="R29" i="18" s="1"/>
  <c r="I195" i="18"/>
  <c r="J195" i="18" s="1"/>
  <c r="L195" i="18" s="1"/>
  <c r="N195" i="18" s="1"/>
  <c r="R195" i="18" s="1"/>
  <c r="I23" i="18"/>
  <c r="J23" i="18" s="1"/>
  <c r="L23" i="18" s="1"/>
  <c r="N23" i="18" s="1"/>
  <c r="R23" i="18" s="1"/>
  <c r="I71" i="18"/>
  <c r="J71" i="18" s="1"/>
  <c r="L71" i="18" s="1"/>
  <c r="N71" i="18" s="1"/>
  <c r="R71" i="18" s="1"/>
  <c r="I109" i="18"/>
  <c r="J109" i="18" s="1"/>
  <c r="L109" i="18" s="1"/>
  <c r="N109" i="18" s="1"/>
  <c r="R109" i="18" s="1"/>
  <c r="I139" i="18"/>
  <c r="J139" i="18" s="1"/>
  <c r="L139" i="18" s="1"/>
  <c r="N139" i="18" s="1"/>
  <c r="R139" i="18" s="1"/>
  <c r="I61" i="18"/>
  <c r="J61" i="18" s="1"/>
  <c r="L61" i="18" s="1"/>
  <c r="N61" i="18" s="1"/>
  <c r="R61" i="18" s="1"/>
  <c r="I208" i="18"/>
  <c r="J208" i="18" s="1"/>
  <c r="L208" i="18" s="1"/>
  <c r="N208" i="18" s="1"/>
  <c r="R208" i="18" s="1"/>
  <c r="I166" i="18"/>
  <c r="J166" i="18" s="1"/>
  <c r="L166" i="18" s="1"/>
  <c r="N166" i="18" s="1"/>
  <c r="R166" i="18" s="1"/>
  <c r="I126" i="18"/>
  <c r="J126" i="18" s="1"/>
  <c r="L126" i="18" s="1"/>
  <c r="N126" i="18" s="1"/>
  <c r="R126" i="18" s="1"/>
  <c r="I80" i="18"/>
  <c r="J80" i="18" s="1"/>
  <c r="L80" i="18" s="1"/>
  <c r="N80" i="18" s="1"/>
  <c r="R80" i="18" s="1"/>
  <c r="I30" i="18"/>
  <c r="J30" i="18" s="1"/>
  <c r="L30" i="18" s="1"/>
  <c r="N30" i="18" s="1"/>
  <c r="R30" i="18" s="1"/>
  <c r="I66" i="18"/>
  <c r="J66" i="18" s="1"/>
  <c r="L66" i="18" s="1"/>
  <c r="N66" i="18" s="1"/>
  <c r="R66" i="18" s="1"/>
  <c r="I47" i="18"/>
  <c r="J47" i="18" s="1"/>
  <c r="L47" i="18" s="1"/>
  <c r="N47" i="18" s="1"/>
  <c r="R47" i="18" s="1"/>
  <c r="I77" i="18"/>
  <c r="J77" i="18" s="1"/>
  <c r="L77" i="18" s="1"/>
  <c r="N77" i="18" s="1"/>
  <c r="R77" i="18" s="1"/>
  <c r="I204" i="18"/>
  <c r="J204" i="18" s="1"/>
  <c r="L204" i="18" s="1"/>
  <c r="N204" i="18" s="1"/>
  <c r="R204" i="18" s="1"/>
  <c r="I138" i="18"/>
  <c r="J138" i="18" s="1"/>
  <c r="L138" i="18" s="1"/>
  <c r="N138" i="18" s="1"/>
  <c r="R138" i="18" s="1"/>
  <c r="I148" i="18"/>
  <c r="J148" i="18" s="1"/>
  <c r="L148" i="18" s="1"/>
  <c r="N148" i="18" s="1"/>
  <c r="R148" i="18" s="1"/>
  <c r="I106" i="18"/>
  <c r="J106" i="18" s="1"/>
  <c r="L106" i="18" s="1"/>
  <c r="N106" i="18" s="1"/>
  <c r="R106" i="18" s="1"/>
  <c r="I46" i="18"/>
  <c r="J46" i="18" s="1"/>
  <c r="L46" i="18" s="1"/>
  <c r="N46" i="18" s="1"/>
  <c r="R46" i="18" s="1"/>
  <c r="I176" i="18"/>
  <c r="J176" i="18" s="1"/>
  <c r="L176" i="18" s="1"/>
  <c r="N176" i="18" s="1"/>
  <c r="R176" i="18" s="1"/>
  <c r="I73" i="18"/>
  <c r="J73" i="18" s="1"/>
  <c r="L73" i="18" s="1"/>
  <c r="N73" i="18" s="1"/>
  <c r="R73" i="18" s="1"/>
  <c r="I95" i="18"/>
  <c r="J95" i="18" s="1"/>
  <c r="L95" i="18" s="1"/>
  <c r="N95" i="18" s="1"/>
  <c r="R95" i="18" s="1"/>
  <c r="I74" i="18"/>
  <c r="J74" i="18" s="1"/>
  <c r="L74" i="18" s="1"/>
  <c r="N74" i="18" s="1"/>
  <c r="R74" i="18" s="1"/>
  <c r="I101" i="18"/>
  <c r="J101" i="18" s="1"/>
  <c r="L101" i="18" s="1"/>
  <c r="N101" i="18" s="1"/>
  <c r="R101" i="18" s="1"/>
  <c r="I52" i="18"/>
  <c r="J52" i="18" s="1"/>
  <c r="L52" i="18" s="1"/>
  <c r="N52" i="18" s="1"/>
  <c r="R52" i="18" s="1"/>
  <c r="I161" i="18"/>
  <c r="J161" i="18" s="1"/>
  <c r="L161" i="18" s="1"/>
  <c r="N161" i="18" s="1"/>
  <c r="R161" i="18" s="1"/>
  <c r="I55" i="18"/>
  <c r="J55" i="18" s="1"/>
  <c r="L55" i="18" s="1"/>
  <c r="N55" i="18" s="1"/>
  <c r="R55" i="18" s="1"/>
  <c r="I198" i="18"/>
  <c r="J198" i="18" s="1"/>
  <c r="L198" i="18" s="1"/>
  <c r="N198" i="18" s="1"/>
  <c r="R198" i="18" s="1"/>
  <c r="I205" i="18"/>
  <c r="J205" i="18" s="1"/>
  <c r="L205" i="18" s="1"/>
  <c r="N205" i="18" s="1"/>
  <c r="R205" i="18" s="1"/>
  <c r="I210" i="18"/>
  <c r="J210" i="18" s="1"/>
  <c r="L210" i="18" s="1"/>
  <c r="N210" i="18" s="1"/>
  <c r="R210" i="18" s="1"/>
  <c r="I156" i="18"/>
  <c r="J156" i="18" s="1"/>
  <c r="L156" i="18" s="1"/>
  <c r="N156" i="18" s="1"/>
  <c r="R156" i="18" s="1"/>
  <c r="I209" i="18"/>
  <c r="J209" i="18" s="1"/>
  <c r="L209" i="18" s="1"/>
  <c r="N209" i="18" s="1"/>
  <c r="R209" i="18" s="1"/>
  <c r="I151" i="18"/>
  <c r="J151" i="18" s="1"/>
  <c r="L151" i="18" s="1"/>
  <c r="N151" i="18" s="1"/>
  <c r="R151" i="18" s="1"/>
  <c r="I180" i="18"/>
  <c r="J180" i="18" s="1"/>
  <c r="L180" i="18" s="1"/>
  <c r="N180" i="18" s="1"/>
  <c r="R180" i="18" s="1"/>
  <c r="I154" i="18"/>
  <c r="J154" i="18" s="1"/>
  <c r="L154" i="18" s="1"/>
  <c r="N154" i="18" s="1"/>
  <c r="R154" i="18" s="1"/>
  <c r="I134" i="18"/>
  <c r="J134" i="18" s="1"/>
  <c r="L134" i="18" s="1"/>
  <c r="N134" i="18" s="1"/>
  <c r="R134" i="18" s="1"/>
  <c r="I82" i="18"/>
  <c r="J82" i="18" s="1"/>
  <c r="L82" i="18" s="1"/>
  <c r="N82" i="18" s="1"/>
  <c r="R82" i="18" s="1"/>
  <c r="I174" i="18"/>
  <c r="J174" i="18" s="1"/>
  <c r="L174" i="18" s="1"/>
  <c r="N174" i="18" s="1"/>
  <c r="R174" i="18" s="1"/>
  <c r="I124" i="18"/>
  <c r="J124" i="18" s="1"/>
  <c r="L124" i="18" s="1"/>
  <c r="N124" i="18" s="1"/>
  <c r="R124" i="18" s="1"/>
  <c r="I25" i="18"/>
  <c r="J25" i="18" s="1"/>
  <c r="L25" i="18" s="1"/>
  <c r="N25" i="18" s="1"/>
  <c r="R25" i="18" s="1"/>
  <c r="I142" i="18"/>
  <c r="J142" i="18" s="1"/>
  <c r="L142" i="18" s="1"/>
  <c r="N142" i="18" s="1"/>
  <c r="R142" i="18" s="1"/>
  <c r="I84" i="18"/>
  <c r="J84" i="18" s="1"/>
  <c r="L84" i="18" s="1"/>
  <c r="N84" i="18" s="1"/>
  <c r="R84" i="18" s="1"/>
  <c r="I81" i="18"/>
  <c r="J81" i="18" s="1"/>
  <c r="L81" i="18" s="1"/>
  <c r="N81" i="18" s="1"/>
  <c r="R81" i="18" s="1"/>
  <c r="I44" i="18"/>
  <c r="J44" i="18" s="1"/>
  <c r="L44" i="18" s="1"/>
  <c r="N44" i="18" s="1"/>
  <c r="R44" i="18" s="1"/>
  <c r="I165" i="18"/>
  <c r="J165" i="18" s="1"/>
  <c r="L165" i="18" s="1"/>
  <c r="N165" i="18" s="1"/>
  <c r="R165" i="18" s="1"/>
  <c r="I120" i="18"/>
  <c r="J120" i="18" s="1"/>
  <c r="L120" i="18" s="1"/>
  <c r="N120" i="18" s="1"/>
  <c r="R120" i="18" s="1"/>
  <c r="I183" i="18"/>
  <c r="J183" i="18" s="1"/>
  <c r="L183" i="18" s="1"/>
  <c r="N183" i="18" s="1"/>
  <c r="R183" i="18" s="1"/>
  <c r="I171" i="18"/>
  <c r="J171" i="18" s="1"/>
  <c r="L171" i="18" s="1"/>
  <c r="N171" i="18" s="1"/>
  <c r="R171" i="18" s="1"/>
  <c r="I78" i="18"/>
  <c r="J78" i="18" s="1"/>
  <c r="L78" i="18" s="1"/>
  <c r="N78" i="18" s="1"/>
  <c r="R78" i="18" s="1"/>
  <c r="I160" i="18"/>
  <c r="J160" i="18" s="1"/>
  <c r="L160" i="18" s="1"/>
  <c r="N160" i="18" s="1"/>
  <c r="R160" i="18" s="1"/>
  <c r="I60" i="18"/>
  <c r="J60" i="18" s="1"/>
  <c r="L60" i="18" s="1"/>
  <c r="N60" i="18" s="1"/>
  <c r="R60" i="18" s="1"/>
  <c r="I35" i="18"/>
  <c r="J35" i="18" s="1"/>
  <c r="L35" i="18" s="1"/>
  <c r="N35" i="18" s="1"/>
  <c r="R35" i="18" s="1"/>
  <c r="I206" i="18"/>
  <c r="J206" i="18" s="1"/>
  <c r="L206" i="18" s="1"/>
  <c r="N206" i="18" s="1"/>
  <c r="R206" i="18" s="1"/>
  <c r="I107" i="18"/>
  <c r="J107" i="18" s="1"/>
  <c r="L107" i="18" s="1"/>
  <c r="N107" i="18" s="1"/>
  <c r="R107" i="18" s="1"/>
  <c r="I86" i="18"/>
  <c r="J86" i="18" s="1"/>
  <c r="L86" i="18" s="1"/>
  <c r="N86" i="18" s="1"/>
  <c r="R86" i="18" s="1"/>
  <c r="I192" i="18"/>
  <c r="J192" i="18" s="1"/>
  <c r="L192" i="18" s="1"/>
  <c r="N192" i="18" s="1"/>
  <c r="R192" i="18" s="1"/>
  <c r="I53" i="18"/>
  <c r="J53" i="18" s="1"/>
  <c r="L53" i="18" s="1"/>
  <c r="N53" i="18" s="1"/>
  <c r="R53" i="18" s="1"/>
  <c r="I45" i="18"/>
  <c r="J45" i="18" s="1"/>
  <c r="L45" i="18" s="1"/>
  <c r="N45" i="18" s="1"/>
  <c r="R45" i="18" s="1"/>
  <c r="I21" i="18"/>
  <c r="J21" i="18" s="1"/>
  <c r="L21" i="18" s="1"/>
  <c r="N21" i="18" s="1"/>
  <c r="R21" i="18" s="1"/>
  <c r="I132" i="18"/>
  <c r="J132" i="18" s="1"/>
  <c r="L132" i="18" s="1"/>
  <c r="N132" i="18" s="1"/>
  <c r="R132" i="18" s="1"/>
  <c r="I50" i="18"/>
  <c r="J50" i="18" s="1"/>
  <c r="L50" i="18" s="1"/>
  <c r="N50" i="18" s="1"/>
  <c r="R50" i="18" s="1"/>
  <c r="I36" i="18"/>
  <c r="J36" i="18" s="1"/>
  <c r="L36" i="18" s="1"/>
  <c r="N36" i="18" s="1"/>
  <c r="R36" i="18" s="1"/>
  <c r="I31" i="18"/>
  <c r="J31" i="18" s="1"/>
  <c r="L31" i="18" s="1"/>
  <c r="N31" i="18" s="1"/>
  <c r="R31" i="18" s="1"/>
  <c r="I118" i="18"/>
  <c r="J118" i="18" s="1"/>
  <c r="L118" i="18" s="1"/>
  <c r="N118" i="18" s="1"/>
  <c r="R118" i="18" s="1"/>
  <c r="I87" i="18"/>
  <c r="J87" i="18" s="1"/>
  <c r="L87" i="18" s="1"/>
  <c r="N87" i="18" s="1"/>
  <c r="R87" i="18" s="1"/>
  <c r="I62" i="18"/>
  <c r="J62" i="18" s="1"/>
  <c r="L62" i="18" s="1"/>
  <c r="N62" i="18" s="1"/>
  <c r="R62" i="18" s="1"/>
  <c r="I162" i="18"/>
  <c r="J162" i="18" s="1"/>
  <c r="L162" i="18" s="1"/>
  <c r="N162" i="18" s="1"/>
  <c r="R162" i="18" s="1"/>
  <c r="I37" i="18"/>
  <c r="J37" i="18" s="1"/>
  <c r="L37" i="18" s="1"/>
  <c r="N37" i="18" s="1"/>
  <c r="R37" i="18" s="1"/>
  <c r="I65" i="18"/>
  <c r="J65" i="18" s="1"/>
  <c r="L65" i="18" s="1"/>
  <c r="N65" i="18" s="1"/>
  <c r="R65" i="18" s="1"/>
  <c r="I182" i="18"/>
  <c r="J182" i="18" s="1"/>
  <c r="L182" i="18" s="1"/>
  <c r="N182" i="18" s="1"/>
  <c r="R182" i="18" s="1"/>
  <c r="I28" i="18"/>
  <c r="J28" i="18" s="1"/>
  <c r="L28" i="18" s="1"/>
  <c r="N28" i="18" s="1"/>
  <c r="R28" i="18" s="1"/>
  <c r="I102" i="18"/>
  <c r="J102" i="18" s="1"/>
  <c r="L102" i="18" s="1"/>
  <c r="N102" i="18" s="1"/>
  <c r="R102" i="18" s="1"/>
  <c r="I140" i="18"/>
  <c r="J140" i="18" s="1"/>
  <c r="L140" i="18" s="1"/>
  <c r="N140" i="18" s="1"/>
  <c r="R140" i="18" s="1"/>
  <c r="I159" i="18"/>
  <c r="J159" i="18" s="1"/>
  <c r="L159" i="18" s="1"/>
  <c r="N159" i="18" s="1"/>
  <c r="R159" i="18" s="1"/>
  <c r="I136" i="18"/>
  <c r="J136" i="18" s="1"/>
  <c r="L136" i="18" s="1"/>
  <c r="N136" i="18" s="1"/>
  <c r="R136" i="18" s="1"/>
  <c r="I43" i="18"/>
  <c r="J43" i="18" s="1"/>
  <c r="L43" i="18" s="1"/>
  <c r="N43" i="18" s="1"/>
  <c r="R43" i="18" s="1"/>
  <c r="I185" i="18"/>
  <c r="J185" i="18" s="1"/>
  <c r="L185" i="18" s="1"/>
  <c r="N185" i="18" s="1"/>
  <c r="R185" i="18" s="1"/>
  <c r="I72" i="18"/>
  <c r="J72" i="18" s="1"/>
  <c r="L72" i="18" s="1"/>
  <c r="N72" i="18" s="1"/>
  <c r="R72" i="18" s="1"/>
  <c r="I190" i="18"/>
  <c r="J190" i="18" s="1"/>
  <c r="L190" i="18" s="1"/>
  <c r="N190" i="18" s="1"/>
  <c r="R190" i="18" s="1"/>
  <c r="I170" i="18"/>
  <c r="J170" i="18" s="1"/>
  <c r="L170" i="18" s="1"/>
  <c r="N170" i="18" s="1"/>
  <c r="R170" i="18" s="1"/>
  <c r="I117" i="18"/>
  <c r="J117" i="18" s="1"/>
  <c r="L117" i="18" s="1"/>
  <c r="N117" i="18" s="1"/>
  <c r="R117" i="18" s="1"/>
  <c r="I54" i="18"/>
  <c r="J54" i="18" s="1"/>
  <c r="L54" i="18" s="1"/>
  <c r="N54" i="18" s="1"/>
  <c r="R54" i="18" s="1"/>
  <c r="I141" i="18"/>
  <c r="J141" i="18" s="1"/>
  <c r="L141" i="18" s="1"/>
  <c r="N141" i="18" s="1"/>
  <c r="R141" i="18" s="1"/>
  <c r="I189" i="18"/>
  <c r="J189" i="18" s="1"/>
  <c r="L189" i="18" s="1"/>
  <c r="N189" i="18" s="1"/>
  <c r="R189" i="18" s="1"/>
  <c r="I196" i="18"/>
  <c r="J196" i="18" s="1"/>
  <c r="L196" i="18" s="1"/>
  <c r="N196" i="18" s="1"/>
  <c r="R196" i="18" s="1"/>
  <c r="I155" i="18"/>
  <c r="J155" i="18" s="1"/>
  <c r="L155" i="18" s="1"/>
  <c r="N155" i="18" s="1"/>
  <c r="R155" i="18" s="1"/>
  <c r="I177" i="18"/>
  <c r="J177" i="18" s="1"/>
  <c r="L177" i="18" s="1"/>
  <c r="N177" i="18" s="1"/>
  <c r="R177" i="18" s="1"/>
  <c r="I211" i="18"/>
  <c r="J211" i="18" s="1"/>
  <c r="L211" i="18" s="1"/>
  <c r="N211" i="18" s="1"/>
  <c r="R211" i="18" s="1"/>
  <c r="I121" i="18"/>
  <c r="J121" i="18" s="1"/>
  <c r="L121" i="18" s="1"/>
  <c r="N121" i="18" s="1"/>
  <c r="R121" i="18" s="1"/>
  <c r="I27" i="18"/>
  <c r="J27" i="18" s="1"/>
  <c r="L27" i="18" s="1"/>
  <c r="N27" i="18" s="1"/>
  <c r="R27" i="18" s="1"/>
  <c r="I181" i="18"/>
  <c r="J181" i="18" s="1"/>
  <c r="L181" i="18" s="1"/>
  <c r="N181" i="18" s="1"/>
  <c r="R181" i="18" s="1"/>
  <c r="I179" i="18"/>
  <c r="J179" i="18" s="1"/>
  <c r="L179" i="18" s="1"/>
  <c r="N179" i="18" s="1"/>
  <c r="R179" i="18" s="1"/>
  <c r="I157" i="18"/>
  <c r="J157" i="18" s="1"/>
  <c r="L157" i="18" s="1"/>
  <c r="N157" i="18" s="1"/>
  <c r="R157" i="18" s="1"/>
  <c r="I173" i="18"/>
  <c r="J173" i="18" s="1"/>
  <c r="L173" i="18" s="1"/>
  <c r="N173" i="18" s="1"/>
  <c r="R173" i="18" s="1"/>
  <c r="I172" i="18"/>
  <c r="J172" i="18" s="1"/>
  <c r="L172" i="18" s="1"/>
  <c r="N172" i="18" s="1"/>
  <c r="R172" i="18" s="1"/>
  <c r="I98" i="18"/>
  <c r="J98" i="18" s="1"/>
  <c r="L98" i="18" s="1"/>
  <c r="N98" i="18" s="1"/>
  <c r="R98" i="18" s="1"/>
  <c r="I91" i="18"/>
  <c r="J91" i="18" s="1"/>
  <c r="L91" i="18" s="1"/>
  <c r="N91" i="18" s="1"/>
  <c r="R91" i="18" s="1"/>
  <c r="I178" i="18"/>
  <c r="J178" i="18" s="1"/>
  <c r="L178" i="18" s="1"/>
  <c r="N178" i="18" s="1"/>
  <c r="R178" i="18" s="1"/>
  <c r="I58" i="18"/>
  <c r="J58" i="18" s="1"/>
  <c r="L58" i="18" s="1"/>
  <c r="N58" i="18" s="1"/>
  <c r="R58" i="18" s="1"/>
  <c r="I149" i="18"/>
  <c r="J149" i="18" s="1"/>
  <c r="L149" i="18" s="1"/>
  <c r="N149" i="18" s="1"/>
  <c r="R149" i="18" s="1"/>
  <c r="I122" i="18"/>
  <c r="J122" i="18" s="1"/>
  <c r="L122" i="18" s="1"/>
  <c r="N122" i="18" s="1"/>
  <c r="R122" i="18" s="1"/>
  <c r="I111" i="18"/>
  <c r="J111" i="18" s="1"/>
  <c r="L111" i="18" s="1"/>
  <c r="N111" i="18" s="1"/>
  <c r="R111" i="18" s="1"/>
  <c r="I97" i="18"/>
  <c r="J97" i="18" s="1"/>
  <c r="L97" i="18" s="1"/>
  <c r="N97" i="18" s="1"/>
  <c r="R97" i="18" s="1"/>
  <c r="I144" i="18"/>
  <c r="J144" i="18" s="1"/>
  <c r="L144" i="18" s="1"/>
  <c r="N144" i="18" s="1"/>
  <c r="R144" i="18" s="1"/>
  <c r="I119" i="18"/>
  <c r="J119" i="18" s="1"/>
  <c r="L119" i="18" s="1"/>
  <c r="N119" i="18" s="1"/>
  <c r="R119" i="18" s="1"/>
  <c r="I168" i="18"/>
  <c r="J168" i="18" s="1"/>
  <c r="L168" i="18" s="1"/>
  <c r="N168" i="18" s="1"/>
  <c r="R168" i="18" s="1"/>
  <c r="I93" i="18"/>
  <c r="J93" i="18" s="1"/>
  <c r="L93" i="18" s="1"/>
  <c r="N93" i="18" s="1"/>
  <c r="R93" i="18" s="1"/>
  <c r="I96" i="18"/>
  <c r="J96" i="18" s="1"/>
  <c r="L96" i="18" s="1"/>
  <c r="N96" i="18" s="1"/>
  <c r="R96" i="18" s="1"/>
  <c r="I116" i="18"/>
  <c r="J116" i="18" s="1"/>
  <c r="L116" i="18" s="1"/>
  <c r="N116" i="18" s="1"/>
  <c r="R116" i="18" s="1"/>
  <c r="I70" i="18"/>
  <c r="J70" i="18" s="1"/>
  <c r="L70" i="18" s="1"/>
  <c r="N70" i="18" s="1"/>
  <c r="R70" i="18" s="1"/>
  <c r="I186" i="18"/>
  <c r="J186" i="18" s="1"/>
  <c r="L186" i="18" s="1"/>
  <c r="N186" i="18" s="1"/>
  <c r="R186" i="18" s="1"/>
  <c r="I69" i="18"/>
  <c r="J69" i="18" s="1"/>
  <c r="L69" i="18" s="1"/>
  <c r="N69" i="18" s="1"/>
  <c r="R69" i="18" s="1"/>
  <c r="I68" i="18"/>
  <c r="J68" i="18" s="1"/>
  <c r="L68" i="18" s="1"/>
  <c r="N68" i="18" s="1"/>
  <c r="R68" i="18" s="1"/>
  <c r="I88" i="18"/>
  <c r="J88" i="18" s="1"/>
  <c r="L88" i="18" s="1"/>
  <c r="N88" i="18" s="1"/>
  <c r="R88" i="18" s="1"/>
  <c r="I64" i="18"/>
  <c r="J64" i="18" s="1"/>
  <c r="L64" i="18" s="1"/>
  <c r="N64" i="18" s="1"/>
  <c r="R64" i="18" s="1"/>
  <c r="I200" i="18"/>
  <c r="J200" i="18" s="1"/>
  <c r="L200" i="18" s="1"/>
  <c r="N200" i="18" s="1"/>
  <c r="R200" i="18" s="1"/>
  <c r="I42" i="18"/>
  <c r="J42" i="18" s="1"/>
  <c r="L42" i="18" s="1"/>
  <c r="N42" i="18" s="1"/>
  <c r="R42" i="18" s="1"/>
  <c r="I127" i="18"/>
  <c r="J127" i="18" s="1"/>
  <c r="L127" i="18" s="1"/>
  <c r="N127" i="18" s="1"/>
  <c r="R127" i="18" s="1"/>
  <c r="I67" i="18"/>
  <c r="J67" i="18" s="1"/>
  <c r="L67" i="18" s="1"/>
  <c r="N67" i="18" s="1"/>
  <c r="R67" i="18" s="1"/>
  <c r="I90" i="18"/>
  <c r="J90" i="18" s="1"/>
  <c r="L90" i="18" s="1"/>
  <c r="N90" i="18" s="1"/>
  <c r="R90" i="18" s="1"/>
  <c r="I203" i="18"/>
  <c r="J203" i="18" s="1"/>
  <c r="L203" i="18" s="1"/>
  <c r="N203" i="18" s="1"/>
  <c r="R203" i="18" s="1"/>
  <c r="I32" i="18"/>
  <c r="J32" i="18" s="1"/>
  <c r="L32" i="18" s="1"/>
  <c r="N32" i="18" s="1"/>
  <c r="R32" i="18" s="1"/>
  <c r="I145" i="18"/>
  <c r="J145" i="18" s="1"/>
  <c r="L145" i="18" s="1"/>
  <c r="N145" i="18" s="1"/>
  <c r="R145" i="18" s="1"/>
  <c r="I83" i="18"/>
  <c r="J83" i="18" s="1"/>
  <c r="L83" i="18" s="1"/>
  <c r="N83" i="18" s="1"/>
  <c r="R83" i="18" s="1"/>
  <c r="I129" i="18"/>
  <c r="J129" i="18" s="1"/>
  <c r="L129" i="18" s="1"/>
  <c r="N129" i="18" s="1"/>
  <c r="R129" i="18" s="1"/>
  <c r="I85" i="18"/>
  <c r="J85" i="18" s="1"/>
  <c r="L85" i="18" s="1"/>
  <c r="N85" i="18" s="1"/>
  <c r="R85" i="18" s="1"/>
  <c r="I108" i="18"/>
  <c r="J108" i="18" s="1"/>
  <c r="L108" i="18" s="1"/>
  <c r="N108" i="18" s="1"/>
  <c r="R108" i="18" s="1"/>
  <c r="I153" i="18"/>
  <c r="J153" i="18" s="1"/>
  <c r="L153" i="18" s="1"/>
  <c r="N153" i="18" s="1"/>
  <c r="R153" i="18" s="1"/>
  <c r="I94" i="18"/>
  <c r="J94" i="18" s="1"/>
  <c r="L94" i="18" s="1"/>
  <c r="N94" i="18" s="1"/>
  <c r="R94" i="18" s="1"/>
  <c r="I51" i="18"/>
  <c r="J51" i="18" s="1"/>
  <c r="L51" i="18" s="1"/>
  <c r="N51" i="18" s="1"/>
  <c r="R51" i="18" s="1"/>
  <c r="I133" i="18"/>
  <c r="J133" i="18" s="1"/>
  <c r="L133" i="18" s="1"/>
  <c r="N133" i="18" s="1"/>
  <c r="R133" i="18" s="1"/>
  <c r="I105" i="18"/>
  <c r="J105" i="18" s="1"/>
  <c r="L105" i="18" s="1"/>
  <c r="N105" i="18" s="1"/>
  <c r="R105" i="18" s="1"/>
  <c r="I146" i="18"/>
  <c r="J146" i="18" s="1"/>
  <c r="L146" i="18" s="1"/>
  <c r="N146" i="18" s="1"/>
  <c r="R146" i="18" s="1"/>
  <c r="F14" i="29"/>
  <c r="I110" i="18"/>
  <c r="J110" i="18" s="1"/>
  <c r="L110" i="18" s="1"/>
  <c r="N110" i="18" s="1"/>
  <c r="R110" i="18" s="1"/>
  <c r="I201" i="18"/>
  <c r="J201" i="18" s="1"/>
  <c r="L201" i="18" s="1"/>
  <c r="N201" i="18" s="1"/>
  <c r="R201" i="18" s="1"/>
  <c r="I22" i="18"/>
  <c r="J22" i="18" s="1"/>
  <c r="L22" i="18" s="1"/>
  <c r="N22" i="18" s="1"/>
  <c r="R22" i="18" s="1"/>
  <c r="I39" i="18"/>
  <c r="J39" i="18" s="1"/>
  <c r="L39" i="18" s="1"/>
  <c r="N39" i="18" s="1"/>
  <c r="R39" i="18" s="1"/>
  <c r="I56" i="18"/>
  <c r="J56" i="18" s="1"/>
  <c r="I57" i="18"/>
  <c r="J57" i="18" s="1"/>
  <c r="L57" i="18" s="1"/>
  <c r="N57" i="18" s="1"/>
  <c r="R57" i="18" s="1"/>
  <c r="I114" i="18"/>
  <c r="J114" i="18" s="1"/>
  <c r="L114" i="18" s="1"/>
  <c r="N114" i="18" s="1"/>
  <c r="R114" i="18" s="1"/>
  <c r="I40" i="18"/>
  <c r="J40" i="18" s="1"/>
  <c r="L40" i="18" s="1"/>
  <c r="N40" i="18" s="1"/>
  <c r="R40" i="18" s="1"/>
  <c r="I184" i="18"/>
  <c r="J184" i="18" s="1"/>
  <c r="L184" i="18" s="1"/>
  <c r="N184" i="18" s="1"/>
  <c r="R184" i="18" s="1"/>
  <c r="I150" i="18"/>
  <c r="J150" i="18" s="1"/>
  <c r="L150" i="18" s="1"/>
  <c r="N150" i="18" s="1"/>
  <c r="R150" i="18" s="1"/>
  <c r="I188" i="18"/>
  <c r="J188" i="18" s="1"/>
  <c r="L188" i="18" s="1"/>
  <c r="N188" i="18" s="1"/>
  <c r="R188" i="18" s="1"/>
  <c r="I143" i="18"/>
  <c r="J143" i="18" s="1"/>
  <c r="L143" i="18" s="1"/>
  <c r="N143" i="18" s="1"/>
  <c r="R143" i="18" s="1"/>
  <c r="I131" i="18"/>
  <c r="J131" i="18" s="1"/>
  <c r="L131" i="18" s="1"/>
  <c r="N131" i="18" s="1"/>
  <c r="R131" i="18" s="1"/>
  <c r="I63" i="18"/>
  <c r="J63" i="18" s="1"/>
  <c r="L63" i="18" s="1"/>
  <c r="N63" i="18" s="1"/>
  <c r="R63" i="18" s="1"/>
  <c r="I59" i="18"/>
  <c r="J59" i="18" s="1"/>
  <c r="L59" i="18" s="1"/>
  <c r="N59" i="18" s="1"/>
  <c r="R59" i="18" s="1"/>
  <c r="I49" i="18"/>
  <c r="J49" i="18" s="1"/>
  <c r="L49" i="18" s="1"/>
  <c r="N49" i="18" s="1"/>
  <c r="R49" i="18" s="1"/>
  <c r="I197" i="18"/>
  <c r="J197" i="18" s="1"/>
  <c r="L197" i="18" s="1"/>
  <c r="N197" i="18" s="1"/>
  <c r="R197" i="18" s="1"/>
  <c r="I125" i="18"/>
  <c r="J125" i="18" s="1"/>
  <c r="L125" i="18" s="1"/>
  <c r="N125" i="18" s="1"/>
  <c r="R125" i="18" s="1"/>
  <c r="I164" i="18"/>
  <c r="J164" i="18" s="1"/>
  <c r="L164" i="18" s="1"/>
  <c r="N164" i="18" s="1"/>
  <c r="R164" i="18" s="1"/>
  <c r="I152" i="18"/>
  <c r="J152" i="18" s="1"/>
  <c r="L152" i="18" s="1"/>
  <c r="N152" i="18" s="1"/>
  <c r="R152" i="18" s="1"/>
  <c r="I20" i="18"/>
  <c r="J20" i="18" s="1"/>
  <c r="I147" i="18"/>
  <c r="J147" i="18" s="1"/>
  <c r="L147" i="18" s="1"/>
  <c r="N147" i="18" s="1"/>
  <c r="R147" i="18" s="1"/>
  <c r="I115" i="18"/>
  <c r="J115" i="18" s="1"/>
  <c r="L115" i="18" s="1"/>
  <c r="N115" i="18" s="1"/>
  <c r="R115" i="18" s="1"/>
  <c r="I167" i="18"/>
  <c r="J167" i="18" s="1"/>
  <c r="L167" i="18" s="1"/>
  <c r="N167" i="18" s="1"/>
  <c r="R167" i="18" s="1"/>
  <c r="I112" i="18"/>
  <c r="J112" i="18" s="1"/>
  <c r="L112" i="18" s="1"/>
  <c r="N112" i="18" s="1"/>
  <c r="R112" i="18" s="1"/>
  <c r="I103" i="18"/>
  <c r="J103" i="18" s="1"/>
  <c r="L103" i="18" s="1"/>
  <c r="N103" i="18" s="1"/>
  <c r="R103" i="18" s="1"/>
  <c r="I113" i="18"/>
  <c r="J113" i="18" s="1"/>
  <c r="L113" i="18" s="1"/>
  <c r="N113" i="18" s="1"/>
  <c r="R113" i="18" s="1"/>
  <c r="I130" i="18"/>
  <c r="J130" i="18" s="1"/>
  <c r="L130" i="18" s="1"/>
  <c r="N130" i="18" s="1"/>
  <c r="R130" i="18" s="1"/>
  <c r="I48" i="18"/>
  <c r="J48" i="18" s="1"/>
  <c r="L48" i="18" s="1"/>
  <c r="N48" i="18" s="1"/>
  <c r="R48" i="18" s="1"/>
  <c r="I99" i="18"/>
  <c r="J99" i="18" s="1"/>
  <c r="L99" i="18" s="1"/>
  <c r="N99" i="18" s="1"/>
  <c r="R99" i="18" s="1"/>
  <c r="I75" i="18"/>
  <c r="J75" i="18" s="1"/>
  <c r="L75" i="18" s="1"/>
  <c r="N75" i="18" s="1"/>
  <c r="R75" i="18" s="1"/>
  <c r="I169" i="18"/>
  <c r="J169" i="18" s="1"/>
  <c r="L169" i="18" s="1"/>
  <c r="N169" i="18" s="1"/>
  <c r="R169" i="18" s="1"/>
  <c r="I128" i="18"/>
  <c r="J128" i="18" s="1"/>
  <c r="L128" i="18" s="1"/>
  <c r="N128" i="18" s="1"/>
  <c r="R128" i="18" s="1"/>
  <c r="I187" i="18"/>
  <c r="J187" i="18" s="1"/>
  <c r="L187" i="18" s="1"/>
  <c r="N187" i="18" s="1"/>
  <c r="R187" i="18" s="1"/>
  <c r="I207" i="18"/>
  <c r="J207" i="18" s="1"/>
  <c r="L207" i="18" s="1"/>
  <c r="N207" i="18" s="1"/>
  <c r="R207" i="18" s="1"/>
  <c r="I191" i="18"/>
  <c r="J191" i="18" s="1"/>
  <c r="L191" i="18" s="1"/>
  <c r="N191" i="18" s="1"/>
  <c r="R191" i="18" s="1"/>
  <c r="I194" i="18"/>
  <c r="J194" i="18" s="1"/>
  <c r="L194" i="18" s="1"/>
  <c r="N194" i="18" s="1"/>
  <c r="R194" i="18" s="1"/>
  <c r="I89" i="18"/>
  <c r="J89" i="18" s="1"/>
  <c r="L89" i="18" s="1"/>
  <c r="N89" i="18" s="1"/>
  <c r="R89" i="18" s="1"/>
  <c r="I163" i="18"/>
  <c r="J163" i="18" s="1"/>
  <c r="L163" i="18" s="1"/>
  <c r="N163" i="18" s="1"/>
  <c r="R163" i="18" s="1"/>
  <c r="I79" i="18"/>
  <c r="J79" i="18" s="1"/>
  <c r="L79" i="18" s="1"/>
  <c r="N79" i="18" s="1"/>
  <c r="R79" i="18" s="1"/>
  <c r="I76" i="18"/>
  <c r="J76" i="18" s="1"/>
  <c r="L76" i="18" s="1"/>
  <c r="N76" i="18" s="1"/>
  <c r="R76" i="18" s="1"/>
  <c r="I199" i="18"/>
  <c r="J199" i="18" s="1"/>
  <c r="L199" i="18" s="1"/>
  <c r="N199" i="18" s="1"/>
  <c r="R199" i="18" s="1"/>
  <c r="I33" i="18"/>
  <c r="J33" i="18" s="1"/>
  <c r="L33" i="18" s="1"/>
  <c r="N33" i="18" s="1"/>
  <c r="R33" i="18" s="1"/>
  <c r="I104" i="18"/>
  <c r="J104" i="18" s="1"/>
  <c r="L104" i="18" s="1"/>
  <c r="N104" i="18" s="1"/>
  <c r="R104" i="18" s="1"/>
  <c r="I193" i="18"/>
  <c r="J193" i="18" s="1"/>
  <c r="L193" i="18" s="1"/>
  <c r="N193" i="18" s="1"/>
  <c r="R193" i="18" s="1"/>
  <c r="I38" i="18"/>
  <c r="J38" i="18" s="1"/>
  <c r="L38" i="18" s="1"/>
  <c r="N38" i="18" s="1"/>
  <c r="R38" i="18" s="1"/>
  <c r="I24" i="18"/>
  <c r="J24" i="18" s="1"/>
  <c r="L24" i="18" s="1"/>
  <c r="N24" i="18" s="1"/>
  <c r="R24" i="18" s="1"/>
  <c r="I158" i="18"/>
  <c r="J158" i="18" s="1"/>
  <c r="L158" i="18" s="1"/>
  <c r="N158" i="18" s="1"/>
  <c r="R158" i="18" s="1"/>
  <c r="I41" i="18"/>
  <c r="J41" i="18" s="1"/>
  <c r="L41" i="18" s="1"/>
  <c r="N41" i="18" s="1"/>
  <c r="R41" i="18" s="1"/>
  <c r="I34" i="18"/>
  <c r="J34" i="18" s="1"/>
  <c r="L34" i="18" s="1"/>
  <c r="N34" i="18" s="1"/>
  <c r="R34" i="18" s="1"/>
  <c r="I92" i="18"/>
  <c r="J92" i="18" s="1"/>
  <c r="L92" i="18" s="1"/>
  <c r="N92" i="18" s="1"/>
  <c r="R92" i="18" s="1"/>
  <c r="I123" i="18"/>
  <c r="J123" i="18" s="1"/>
  <c r="L123" i="18" s="1"/>
  <c r="N123" i="18" s="1"/>
  <c r="R123" i="18" s="1"/>
  <c r="I175" i="18"/>
  <c r="J175" i="18" s="1"/>
  <c r="L175" i="18" s="1"/>
  <c r="N175" i="18" s="1"/>
  <c r="R175" i="18" s="1"/>
  <c r="I100" i="18"/>
  <c r="J100" i="18" s="1"/>
  <c r="L100" i="18" s="1"/>
  <c r="N100" i="18" s="1"/>
  <c r="R100" i="18" s="1"/>
  <c r="I135" i="18"/>
  <c r="J135" i="18" s="1"/>
  <c r="L135" i="18" s="1"/>
  <c r="N135" i="18" s="1"/>
  <c r="R135" i="18" s="1"/>
  <c r="I26" i="18"/>
  <c r="J26" i="18" s="1"/>
  <c r="L26" i="18" s="1"/>
  <c r="N26" i="18" s="1"/>
  <c r="R26" i="18" s="1"/>
  <c r="I202" i="18"/>
  <c r="J202" i="18" s="1"/>
  <c r="L202" i="18" s="1"/>
  <c r="N202" i="18" s="1"/>
  <c r="R202" i="18" s="1"/>
  <c r="J212" i="18" l="1"/>
  <c r="L20" i="18"/>
  <c r="J14" i="18"/>
  <c r="L56" i="18"/>
  <c r="J13" i="18"/>
  <c r="L13" i="18" l="1"/>
  <c r="N56" i="18"/>
  <c r="L14" i="18"/>
  <c r="L212" i="18"/>
  <c r="N20" i="18"/>
  <c r="N13" i="18" l="1"/>
  <c r="R56" i="18"/>
  <c r="R13" i="18" s="1"/>
  <c r="R20" i="18"/>
  <c r="N14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<sst xmlns="http://schemas.openxmlformats.org/spreadsheetml/2006/main" count="417" uniqueCount="100">
  <si>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</si>
  <si>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</si>
  <si>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</si>
  <si>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</si>
  <si>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</si>
  <si>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</si>
  <si>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</si>
  <si>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</si>
  <si>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</si>
  <si>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</si>
  <si>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</si>
  <si>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</si>
  <si>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</si>
  <si>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</si>
  <si>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</si>
  <si>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</si>
  <si>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</si>
  <si>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</si>
  <si>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</si>
  <si>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</si>
  <si>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</si>
  <si>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</si>
  <si>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</si>
  <si>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</si>
  <si>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</si>
  <si>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</si>
  <si>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</si>
  <si>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</si>
  <si>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</si>
  <si>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</si>
  <si>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</si>
  <si>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</si>
  <si>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</si>
  <si>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</si>
  <si>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</si>
  <si>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</si>
  <si>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</si>
  <si>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</si>
  <si>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</si>
  <si>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</si>
  <si>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</si>
  <si>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</si>
  <si>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</si>
  <si>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</si>
  <si>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</si>
  <si>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</si>
  <si>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</si>
  <si>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</si>
  <si>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</si>
  <si>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</si>
  <si>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</si>
  <si>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</si>
  <si>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</si>
  <si>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</si>
  <si>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</si>
  <si>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</si>
  <si>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</si>
  <si>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</si>
  <si>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</si>
  <si>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</si>
  <si>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</si>
  <si>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</si>
  <si>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</si>
  <si>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</si>
  <si>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</si>
  <si>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</si>
  <si>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</si>
  <si>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</si>
  <si>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</si>
  <si>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</si>
  <si>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</si>
  <si>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</si>
  <si>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</si>
  <si>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</si>
  <si>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</si>
  <si>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</si>
  <si>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</si>
  <si>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</si>
  <si>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</si>
  <si>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</si>
  <si>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</si>
  <si>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</si>
  <si>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</si>
  <si>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</si>
  <si>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</si>
  <si>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</si>
  <si>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</si>
  <si>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</si>
  <si>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</si>
  <si>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</si>
  <si>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</si>
  <si>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</si>
  <si>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</si>
  <si>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</si>
  <si>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</si>
  <si>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AEPTCo Formula Rate -- FERC Docket ER18-195</t>
  </si>
  <si>
    <t>2023 True Up Including Interest</t>
  </si>
  <si>
    <r>
      <t>2024 True-Up
(</t>
    </r>
    <r>
      <rPr>
        <sz val="10"/>
        <rFont val="Arial"/>
        <family val="2"/>
      </rPr>
      <t>w/o Interest)</t>
    </r>
  </si>
  <si>
    <t>2024 Interest</t>
  </si>
  <si>
    <t>Total 2024
True-Up Surcharge / (Refund)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</si>
</sst>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9" xfId="0" applyBorder="1" applyProtection="1"/>
    <xf numFmtId="0" fontId="9" fillId="3" borderId="20" xfId="0" quotePrefix="1" applyFont="1" applyFill="1" applyBorder="1" applyAlignment="1" applyProtection="1">
      <alignment horizontal="left" vertical="center" wrapText="1"/>
    </xf>
    <xf numFmtId="165" fontId="0" fillId="3" borderId="21" xfId="2" applyNumberFormat="1" applyFont="1" applyFill="1" applyBorder="1" applyAlignment="1" applyProtection="1">
      <alignment vertical="center"/>
    </xf>
    <xf numFmtId="165" fontId="0" fillId="3" borderId="22" xfId="2" applyNumberFormat="1" applyFont="1" applyFill="1" applyBorder="1" applyAlignment="1" applyProtection="1">
      <alignment vertical="center"/>
    </xf>
    <xf numFmtId="165" fontId="3" fillId="3" borderId="23" xfId="2" applyNumberFormat="1" applyFont="1" applyFill="1" applyBorder="1" applyAlignment="1" applyProtection="1">
      <alignment vertical="center"/>
    </xf>
    <xf numFmtId="0" fontId="0" fillId="0" borderId="25" xfId="0" quotePrefix="1" applyBorder="1" applyAlignment="1" applyProtection="1">
      <alignment horizontal="left"/>
    </xf>
    <xf numFmtId="0" fontId="0" fillId="0" borderId="18" xfId="0" applyBorder="1" applyProtection="1"/>
    <xf numFmtId="0" fontId="0" fillId="0" borderId="26" xfId="0" applyBorder="1" applyProtection="1"/>
    <xf numFmtId="0" fontId="9" fillId="0" borderId="20" xfId="0" quotePrefix="1" applyFont="1" applyFill="1" applyBorder="1" applyAlignment="1" applyProtection="1">
      <alignment horizontal="left" vertical="center" wrapText="1"/>
    </xf>
    <xf numFmtId="165" fontId="0" fillId="0" borderId="21" xfId="2" applyNumberFormat="1" applyFont="1" applyFill="1" applyBorder="1" applyAlignment="1" applyProtection="1">
      <alignment vertical="center"/>
    </xf>
    <xf numFmtId="165" fontId="0" fillId="0" borderId="22" xfId="2" applyNumberFormat="1" applyFont="1" applyFill="1" applyBorder="1" applyAlignment="1" applyProtection="1">
      <alignment vertical="center"/>
    </xf>
    <xf numFmtId="165" fontId="3" fillId="0" borderId="23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5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2" xfId="0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right"/>
    </xf>
    <xf numFmtId="167" fontId="0" fillId="0" borderId="22" xfId="0" applyNumberFormat="1" applyBorder="1" applyAlignment="1" applyProtection="1">
      <alignment horizontal="center"/>
    </xf>
    <xf numFmtId="167" fontId="0" fillId="4" borderId="24" xfId="0" applyNumberFormat="1" applyFill="1" applyBorder="1" applyAlignment="1" applyProtection="1">
      <alignment horizontal="center"/>
    </xf>
    <xf numFmtId="167" fontId="0" fillId="0" borderId="31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2" xfId="0" quotePrefix="1" applyFont="1" applyBorder="1" applyAlignment="1" applyProtection="1">
      <alignment horizontal="center"/>
    </xf>
    <xf numFmtId="164" fontId="4" fillId="0" borderId="21" xfId="0" quotePrefix="1" applyNumberFormat="1" applyFont="1" applyBorder="1" applyAlignment="1" applyProtection="1">
      <alignment horizontal="center" vertical="center" wrapText="1"/>
    </xf>
    <xf numFmtId="0" fontId="4" fillId="0" borderId="22" xfId="0" quotePrefix="1" applyFont="1" applyBorder="1" applyAlignment="1" applyProtection="1">
      <alignment horizontal="center" vertical="center" wrapText="1"/>
    </xf>
    <xf numFmtId="164" fontId="4" fillId="5" borderId="22" xfId="0" quotePrefix="1" applyNumberFormat="1" applyFont="1" applyFill="1" applyBorder="1" applyAlignment="1" applyProtection="1">
      <alignment horizontal="center" vertical="center" wrapText="1"/>
    </xf>
    <xf numFmtId="164" fontId="4" fillId="0" borderId="22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26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3" xfId="0" applyNumberFormat="1" applyBorder="1" applyAlignment="1" applyProtection="1">
      <alignment horizontal="center"/>
    </xf>
    <xf numFmtId="14" fontId="1" fillId="0" borderId="33" xfId="0" applyNumberFormat="1" applyFont="1" applyFill="1" applyBorder="1" applyProtection="1"/>
    <xf numFmtId="14" fontId="7" fillId="2" borderId="33" xfId="0" applyNumberFormat="1" applyFont="1" applyFill="1" applyBorder="1" applyAlignment="1" applyProtection="1">
      <alignment horizontal="left"/>
    </xf>
    <xf numFmtId="0" fontId="0" fillId="0" borderId="33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3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8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4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2" xfId="0" quotePrefix="1" applyFont="1" applyFill="1" applyBorder="1" applyAlignment="1" applyProtection="1">
      <alignment horizontal="center" vertic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2" xfId="0" quotePrefix="1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43" fontId="0" fillId="0" borderId="0" xfId="1" applyFont="1" applyProtection="1"/>
    <xf numFmtId="166" fontId="25" fillId="0" borderId="0" xfId="0" applyNumberFormat="1" applyFont="1" applyProtection="1"/>
    <xf numFmtId="0" fontId="0" fillId="0" borderId="34" xfId="0" applyBorder="1" applyProtection="1"/>
    <xf numFmtId="0" fontId="0" fillId="0" borderId="35" xfId="0" applyBorder="1" applyProtection="1"/>
    <xf numFmtId="0" fontId="0" fillId="0" borderId="34" xfId="0" pivotButton="1" applyBorder="1" applyProtection="1"/>
    <xf numFmtId="0" fontId="0" fillId="0" borderId="36" xfId="0" applyBorder="1" applyProtection="1"/>
    <xf numFmtId="17" fontId="0" fillId="0" borderId="34" xfId="0" applyNumberFormat="1" applyBorder="1" applyProtection="1"/>
    <xf numFmtId="17" fontId="0" fillId="0" borderId="37" xfId="0" applyNumberFormat="1" applyBorder="1" applyProtection="1"/>
    <xf numFmtId="17" fontId="0" fillId="0" borderId="38" xfId="0" applyNumberFormat="1" applyBorder="1" applyProtection="1"/>
    <xf numFmtId="166" fontId="0" fillId="0" borderId="34" xfId="0" applyNumberFormat="1" applyBorder="1" applyProtection="1"/>
    <xf numFmtId="166" fontId="0" fillId="0" borderId="37" xfId="0" applyNumberFormat="1" applyBorder="1" applyProtection="1"/>
    <xf numFmtId="166" fontId="0" fillId="0" borderId="38" xfId="0" applyNumberFormat="1" applyBorder="1" applyProtection="1"/>
    <xf numFmtId="0" fontId="0" fillId="0" borderId="39" xfId="0" applyBorder="1" applyProtection="1"/>
    <xf numFmtId="0" fontId="0" fillId="0" borderId="40" xfId="0" applyBorder="1" applyProtection="1"/>
    <xf numFmtId="166" fontId="25" fillId="0" borderId="40" xfId="0" applyNumberFormat="1" applyFont="1" applyBorder="1" applyProtection="1"/>
    <xf numFmtId="166" fontId="25" fillId="0" borderId="41" xfId="0" applyNumberFormat="1" applyFont="1" applyBorder="1" applyProtection="1"/>
    <xf numFmtId="166" fontId="0" fillId="0" borderId="40" xfId="0" applyNumberFormat="1" applyBorder="1" applyProtection="1"/>
    <xf numFmtId="166" fontId="0" fillId="0" borderId="41" xfId="0" applyNumberFormat="1" applyBorder="1" applyProtection="1"/>
    <xf numFmtId="166" fontId="25" fillId="0" borderId="34" xfId="0" applyNumberFormat="1" applyFont="1" applyBorder="1" applyProtection="1"/>
    <xf numFmtId="166" fontId="25" fillId="0" borderId="37" xfId="0" applyNumberFormat="1" applyFont="1" applyBorder="1" applyProtection="1"/>
    <xf numFmtId="166" fontId="25" fillId="0" borderId="38" xfId="0" applyNumberFormat="1" applyFont="1" applyBorder="1" applyProtection="1"/>
    <xf numFmtId="0" fontId="0" fillId="0" borderId="42" xfId="0" applyBorder="1" applyProtection="1"/>
    <xf numFmtId="0" fontId="0" fillId="0" borderId="43" xfId="0" applyBorder="1" applyProtection="1"/>
    <xf numFmtId="166" fontId="0" fillId="0" borderId="42" xfId="0" applyNumberFormat="1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800.471953125001" createdVersion="6" refreshedVersion="8" recordCount="192" xr:uid="{00000000-000A-0000-FFFF-FFFFD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4-12-02T00:00:00" count="180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3-01-01T00:00:00" u="1"/>
        <d v="2023-02-01T00:00:00" u="1"/>
        <d v="2023-03-01T00:00:00" u="1"/>
        <d v="2023-04-01T00:00:00" u="1"/>
        <d v="2023-05-01T00:00:00" u="1"/>
        <d v="2023-06-01T00:00:00" u="1"/>
        <d v="2023-07-01T00:00:00" u="1"/>
        <d v="2023-08-01T00:00:00" u="1"/>
        <d v="2023-09-01T00:00:00" u="1"/>
        <d v="2023-10-01T00:00:00" u="1"/>
        <d v="2023-11-01T00:00:00" u="1"/>
        <d v="2023-12-01T00:00:00" u="1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4-02-05T00:00:00" maxDate="2025-01-04T00:00:00"/>
    </cacheField>
    <cacheField name="Payment Received*" numFmtId="14">
      <sharedItems containsSemiMixedTypes="0" containsNonDate="0" containsDate="1" containsString="0" minDate="2024-02-26T00:00:00" maxDate="2025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151"/>
    </cacheField>
    <cacheField name="Projected Rate (as Invoiced)" numFmtId="164">
      <sharedItems containsSemiMixedTypes="0" containsString="0" containsNumber="1" minValue="9.9985597205614507" maxValue="9.9985597205614507"/>
    </cacheField>
    <cacheField name="Actual True-Up Rate" numFmtId="164">
      <sharedItems containsSemiMixedTypes="0" containsString="0" containsNumber="1" minValue="10.866487145184125" maxValue="10.866487145184125"/>
    </cacheField>
    <cacheField name="True-Up Charge" numFmtId="164">
      <sharedItems containsSemiMixedTypes="0" containsString="0" containsNumber="1" minValue="10.866487145184125" maxValue="45106.788139659307"/>
    </cacheField>
    <cacheField name="Invoiced*** Charge (proj.)" numFmtId="164">
      <sharedItems containsSemiMixedTypes="0" containsString="0" containsNumber="1" minValue="9.9985597205614507" maxValue="41504.02140005058"/>
    </cacheField>
    <cacheField name="True-Up w/o Interest" numFmtId="164">
      <sharedItems containsSemiMixedTypes="0" containsString="0" containsNumber="1" minValue="0.86792742462267469" maxValue="3602.7667396087272"/>
    </cacheField>
    <cacheField name="Interest" numFmtId="164">
      <sharedItems containsSemiMixedTypes="0" containsString="0" containsNumber="1" minValue="6.9734037674739027E-2" maxValue="289.46599038784171"/>
    </cacheField>
    <cacheField name="2023 True Up Including Interest" numFmtId="164">
      <sharedItems containsSemiMixedTypes="0" containsString="0" containsNumber="1" minValue="0.93766146229741376" maxValue="3892.2327299965691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0.93766146229741376" maxValue="3892.23272999656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4-02-05T00:00:00"/>
    <d v="2024-02-26T00:00:00"/>
    <x v="0"/>
    <n v="9"/>
    <n v="3252"/>
    <n v="9.9985597205614507"/>
    <n v="10.866487145184125"/>
    <n v="35337.816196138774"/>
    <n v="32515.316211265839"/>
    <n v="2822.4999848729349"/>
    <n v="226.77509051825132"/>
    <n v="3049.275075391186"/>
    <n v="0"/>
    <n v="0"/>
    <n v="0"/>
    <n v="3049.275075391186"/>
  </r>
  <r>
    <x v="1"/>
    <d v="2024-03-05T00:00:00"/>
    <d v="2024-03-25T00:00:00"/>
    <x v="0"/>
    <n v="9"/>
    <n v="2338"/>
    <n v="9.9985597205614507"/>
    <n v="10.866487145184125"/>
    <n v="25405.846945440484"/>
    <n v="23376.632626672672"/>
    <n v="2029.2143187678121"/>
    <n v="163.03818008353986"/>
    <n v="2192.2524988513519"/>
    <n v="0"/>
    <n v="0"/>
    <n v="0"/>
    <n v="2192.2524988513519"/>
  </r>
  <r>
    <x v="2"/>
    <d v="2024-04-03T00:00:00"/>
    <d v="2024-04-24T00:00:00"/>
    <x v="0"/>
    <n v="9"/>
    <n v="2216"/>
    <n v="9.9985597205614507"/>
    <n v="10.866487145184125"/>
    <n v="24080.135513728022"/>
    <n v="22156.808340764175"/>
    <n v="1923.3271729638473"/>
    <n v="154.53062748722169"/>
    <n v="2077.8578004510691"/>
    <n v="0"/>
    <n v="0"/>
    <n v="0"/>
    <n v="2077.8578004510691"/>
  </r>
  <r>
    <x v="3"/>
    <d v="2024-05-03T00:00:00"/>
    <d v="2024-05-24T00:00:00"/>
    <x v="0"/>
    <n v="9"/>
    <n v="2777"/>
    <n v="9.9985597205614507"/>
    <n v="10.866487145184125"/>
    <n v="30176.234802176317"/>
    <n v="27766.000343999149"/>
    <n v="2410.2344581771686"/>
    <n v="193.65142262275029"/>
    <n v="2603.8858807999191"/>
    <n v="0"/>
    <n v="0"/>
    <n v="0"/>
    <n v="2603.8858807999191"/>
  </r>
  <r>
    <x v="4"/>
    <d v="2024-06-05T00:00:00"/>
    <d v="2024-06-24T00:00:00"/>
    <x v="0"/>
    <n v="9"/>
    <n v="3245"/>
    <n v="9.9985597205614507"/>
    <n v="10.866487145184125"/>
    <n v="35261.750786122488"/>
    <n v="32445.326293221908"/>
    <n v="2816.4244929005799"/>
    <n v="226.28695225452813"/>
    <n v="3042.7114451551079"/>
    <n v="0"/>
    <n v="0"/>
    <n v="0"/>
    <n v="3042.7114451551079"/>
  </r>
  <r>
    <x v="5"/>
    <d v="2024-07-03T00:00:00"/>
    <d v="2024-07-24T00:00:00"/>
    <x v="0"/>
    <n v="9"/>
    <n v="4080"/>
    <n v="9.9985597205614507"/>
    <n v="10.866487145184125"/>
    <n v="44335.26755235123"/>
    <n v="40794.12365989072"/>
    <n v="3541.14389246051"/>
    <n v="284.51487371293524"/>
    <n v="3825.6587661734452"/>
    <n v="0"/>
    <n v="0"/>
    <n v="0"/>
    <n v="3825.6587661734452"/>
  </r>
  <r>
    <x v="6"/>
    <d v="2024-08-05T00:00:00"/>
    <d v="2024-08-26T00:00:00"/>
    <x v="0"/>
    <n v="9"/>
    <n v="4149"/>
    <n v="9.9985597205614507"/>
    <n v="10.866487145184125"/>
    <n v="45085.055165368933"/>
    <n v="41484.024280609461"/>
    <n v="3601.0308847594715"/>
    <n v="289.32652231249222"/>
    <n v="3890.3574070719637"/>
    <n v="0"/>
    <n v="0"/>
    <n v="0"/>
    <n v="3890.3574070719637"/>
  </r>
  <r>
    <x v="7"/>
    <d v="2024-09-04T00:00:00"/>
    <d v="2024-09-24T00:00:00"/>
    <x v="0"/>
    <n v="9"/>
    <n v="4151"/>
    <n v="9.9985597205614507"/>
    <n v="10.866487145184125"/>
    <n v="45106.788139659307"/>
    <n v="41504.02140005058"/>
    <n v="3602.7667396087272"/>
    <n v="289.46599038784171"/>
    <n v="3892.2327299965691"/>
    <n v="0"/>
    <n v="0"/>
    <n v="0"/>
    <n v="3892.2327299965691"/>
  </r>
  <r>
    <x v="8"/>
    <d v="2024-10-03T00:00:00"/>
    <d v="2024-10-24T00:00:00"/>
    <x v="0"/>
    <n v="9"/>
    <n v="3859"/>
    <n v="9.9985597205614507"/>
    <n v="10.866487145184125"/>
    <n v="41933.773893265541"/>
    <n v="38584.44196164664"/>
    <n v="3349.3319316189009"/>
    <n v="269.10365138681794"/>
    <n v="3618.4355830057189"/>
    <n v="0"/>
    <n v="0"/>
    <n v="0"/>
    <n v="3618.4355830057189"/>
  </r>
  <r>
    <x v="9"/>
    <d v="2024-11-05T00:00:00"/>
    <d v="2024-11-25T00:00:00"/>
    <x v="0"/>
    <n v="9"/>
    <n v="3429"/>
    <n v="9.9985597205614507"/>
    <n v="10.866487145184125"/>
    <n v="37261.184420836369"/>
    <n v="34285.061281805218"/>
    <n v="2976.1231390311514"/>
    <n v="239.11801518668014"/>
    <n v="3215.2411542178315"/>
    <n v="0"/>
    <n v="0"/>
    <n v="0"/>
    <n v="3215.2411542178315"/>
  </r>
  <r>
    <x v="10"/>
    <d v="2024-12-04T00:00:00"/>
    <d v="2024-12-24T00:00:00"/>
    <x v="0"/>
    <n v="9"/>
    <n v="2220"/>
    <n v="9.9985597205614507"/>
    <n v="10.866487145184125"/>
    <n v="24123.601462308758"/>
    <n v="22196.802579646421"/>
    <n v="1926.7988826623368"/>
    <n v="154.80956363792066"/>
    <n v="2081.6084463002576"/>
    <n v="0"/>
    <n v="0"/>
    <n v="0"/>
    <n v="2081.6084463002576"/>
  </r>
  <r>
    <x v="11"/>
    <d v="2025-01-03T00:00:00"/>
    <d v="2025-01-24T00:00:00"/>
    <x v="0"/>
    <n v="9"/>
    <n v="2569"/>
    <n v="9.9985597205614507"/>
    <n v="10.866487145184125"/>
    <n v="27916.005475978018"/>
    <n v="25686.299922122365"/>
    <n v="2229.7055538556524"/>
    <n v="179.14674278640456"/>
    <n v="2408.8522966420569"/>
    <n v="0"/>
    <n v="0"/>
    <n v="0"/>
    <n v="2408.8522966420569"/>
  </r>
  <r>
    <x v="0"/>
    <d v="2024-02-05T00:00:00"/>
    <d v="2024-02-26T00:00:00"/>
    <x v="1"/>
    <n v="9"/>
    <n v="3306"/>
    <n v="9.9985597205614507"/>
    <n v="10.866487145184125"/>
    <n v="35924.60650197872"/>
    <n v="33055.238436176158"/>
    <n v="2869.3680658025623"/>
    <n v="230.54072855268726"/>
    <n v="3099.9087943552495"/>
    <n v="0"/>
    <n v="0"/>
    <n v="0"/>
    <n v="3099.9087943552495"/>
  </r>
  <r>
    <x v="1"/>
    <d v="2024-03-05T00:00:00"/>
    <d v="2024-03-25T00:00:00"/>
    <x v="1"/>
    <n v="9"/>
    <n v="2611"/>
    <n v="9.9985597205614507"/>
    <n v="10.866487145184125"/>
    <n v="28372.397936075751"/>
    <n v="26106.239430385947"/>
    <n v="2266.1585056898039"/>
    <n v="182.07557236874359"/>
    <n v="2448.2340780585473"/>
    <n v="0"/>
    <n v="0"/>
    <n v="0"/>
    <n v="2448.2340780585473"/>
  </r>
  <r>
    <x v="2"/>
    <d v="2024-04-03T00:00:00"/>
    <d v="2024-04-24T00:00:00"/>
    <x v="1"/>
    <n v="9"/>
    <n v="2302"/>
    <n v="9.9985597205614507"/>
    <n v="10.866487145184125"/>
    <n v="25014.653408213857"/>
    <n v="23016.684476732458"/>
    <n v="1997.9689314813986"/>
    <n v="160.52775472724923"/>
    <n v="2158.496686208648"/>
    <n v="0"/>
    <n v="0"/>
    <n v="0"/>
    <n v="2158.496686208648"/>
  </r>
  <r>
    <x v="3"/>
    <d v="2024-05-03T00:00:00"/>
    <d v="2024-05-24T00:00:00"/>
    <x v="1"/>
    <n v="9"/>
    <n v="2486"/>
    <n v="9.9985597205614507"/>
    <n v="10.866487145184125"/>
    <n v="27014.087042927735"/>
    <n v="24856.419465315765"/>
    <n v="2157.66757761197"/>
    <n v="173.35881765940124"/>
    <n v="2331.0263952713713"/>
    <n v="0"/>
    <n v="0"/>
    <n v="0"/>
    <n v="2331.0263952713713"/>
  </r>
  <r>
    <x v="4"/>
    <d v="2024-06-05T00:00:00"/>
    <d v="2024-06-24T00:00:00"/>
    <x v="1"/>
    <n v="9"/>
    <n v="2970"/>
    <n v="9.9985597205614507"/>
    <n v="10.866487145184125"/>
    <n v="32273.466821196853"/>
    <n v="29695.722370067509"/>
    <n v="2577.7444511293434"/>
    <n v="207.11009189397492"/>
    <n v="2784.8545430233185"/>
    <n v="0"/>
    <n v="0"/>
    <n v="0"/>
    <n v="2784.8545430233185"/>
  </r>
  <r>
    <x v="5"/>
    <d v="2024-07-03T00:00:00"/>
    <d v="2024-07-24T00:00:00"/>
    <x v="1"/>
    <n v="9"/>
    <n v="3483"/>
    <n v="9.9985597205614507"/>
    <n v="10.866487145184125"/>
    <n v="37847.974726676308"/>
    <n v="34824.983506715536"/>
    <n v="3022.9912199607716"/>
    <n v="242.88365322111602"/>
    <n v="3265.8748731818878"/>
    <n v="0"/>
    <n v="0"/>
    <n v="0"/>
    <n v="3265.8748731818878"/>
  </r>
  <r>
    <x v="6"/>
    <d v="2024-08-05T00:00:00"/>
    <d v="2024-08-26T00:00:00"/>
    <x v="1"/>
    <n v="9"/>
    <n v="3510"/>
    <n v="9.9985597205614507"/>
    <n v="10.866487145184125"/>
    <n v="38141.369879596277"/>
    <n v="35094.944619170688"/>
    <n v="3046.4252604255889"/>
    <n v="244.76647223833399"/>
    <n v="3291.1917326639227"/>
    <n v="0"/>
    <n v="0"/>
    <n v="0"/>
    <n v="3291.1917326639227"/>
  </r>
  <r>
    <x v="7"/>
    <d v="2024-09-04T00:00:00"/>
    <d v="2024-09-24T00:00:00"/>
    <x v="1"/>
    <n v="9"/>
    <n v="3574"/>
    <n v="9.9985597205614507"/>
    <n v="10.866487145184125"/>
    <n v="38836.825056888061"/>
    <n v="35734.852441286625"/>
    <n v="3101.9726156014367"/>
    <n v="249.2294506495173"/>
    <n v="3351.202066250954"/>
    <n v="0"/>
    <n v="0"/>
    <n v="0"/>
    <n v="3351.202066250954"/>
  </r>
  <r>
    <x v="8"/>
    <d v="2024-10-03T00:00:00"/>
    <d v="2024-10-24T00:00:00"/>
    <x v="1"/>
    <n v="9"/>
    <n v="3188"/>
    <n v="9.9985597205614507"/>
    <n v="10.866487145184125"/>
    <n v="34642.36101884699"/>
    <n v="31875.408389149903"/>
    <n v="2766.9526296970871"/>
    <n v="222.312112107068"/>
    <n v="2989.2647418041552"/>
    <n v="0"/>
    <n v="0"/>
    <n v="0"/>
    <n v="2989.2647418041552"/>
  </r>
  <r>
    <x v="9"/>
    <d v="2024-11-05T00:00:00"/>
    <d v="2024-11-25T00:00:00"/>
    <x v="1"/>
    <n v="9"/>
    <n v="2793"/>
    <n v="9.9985597205614507"/>
    <n v="10.866487145184125"/>
    <n v="30350.098596499261"/>
    <n v="27925.977299528131"/>
    <n v="2424.1212969711305"/>
    <n v="194.76716722554613"/>
    <n v="2618.8884641966765"/>
    <n v="0"/>
    <n v="0"/>
    <n v="0"/>
    <n v="2618.8884641966765"/>
  </r>
  <r>
    <x v="10"/>
    <d v="2024-12-04T00:00:00"/>
    <d v="2024-12-24T00:00:00"/>
    <x v="1"/>
    <n v="9"/>
    <n v="2339"/>
    <n v="9.9985597205614507"/>
    <n v="10.866487145184125"/>
    <n v="25416.713432585668"/>
    <n v="23386.631186393231"/>
    <n v="2030.0822461924363"/>
    <n v="163.10791412121461"/>
    <n v="2193.1901603136507"/>
    <n v="0"/>
    <n v="0"/>
    <n v="0"/>
    <n v="2193.1901603136507"/>
  </r>
  <r>
    <x v="11"/>
    <d v="2025-01-03T00:00:00"/>
    <d v="2025-01-24T00:00:00"/>
    <x v="1"/>
    <n v="9"/>
    <n v="2520"/>
    <n v="9.9985597205614507"/>
    <n v="10.866487145184125"/>
    <n v="27383.547605863994"/>
    <n v="25196.370495814856"/>
    <n v="2187.1771100491387"/>
    <n v="175.72977494034237"/>
    <n v="2362.9068849894811"/>
    <n v="0"/>
    <n v="0"/>
    <n v="0"/>
    <n v="2362.9068849894811"/>
  </r>
  <r>
    <x v="0"/>
    <d v="2024-02-05T00:00:00"/>
    <d v="2024-02-26T00:00:00"/>
    <x v="2"/>
    <n v="9"/>
    <n v="216"/>
    <n v="9.9985597205614507"/>
    <n v="10.866487145184125"/>
    <n v="2347.1612233597712"/>
    <n v="2159.6888996412736"/>
    <n v="187.47232371849759"/>
    <n v="15.062552137743632"/>
    <n v="202.53487585624123"/>
    <n v="0"/>
    <n v="0"/>
    <n v="0"/>
    <n v="202.53487585624123"/>
  </r>
  <r>
    <x v="1"/>
    <d v="2024-03-05T00:00:00"/>
    <d v="2024-03-25T00:00:00"/>
    <x v="2"/>
    <n v="9"/>
    <n v="146"/>
    <n v="9.9985597205614507"/>
    <n v="10.866487145184125"/>
    <n v="1586.5071231968823"/>
    <n v="1459.7897192019718"/>
    <n v="126.71740399491046"/>
    <n v="10.181169500511897"/>
    <n v="136.89857349542234"/>
    <n v="0"/>
    <n v="0"/>
    <n v="0"/>
    <n v="136.89857349542234"/>
  </r>
  <r>
    <x v="2"/>
    <d v="2024-04-03T00:00:00"/>
    <d v="2024-04-24T00:00:00"/>
    <x v="2"/>
    <n v="9"/>
    <n v="113"/>
    <n v="9.9985597205614507"/>
    <n v="10.866487145184125"/>
    <n v="1227.9130474058061"/>
    <n v="1129.837248423444"/>
    <n v="98.07579898236213"/>
    <n v="7.8799462572455097"/>
    <n v="105.95574523960764"/>
    <n v="0"/>
    <n v="0"/>
    <n v="0"/>
    <n v="105.95574523960764"/>
  </r>
  <r>
    <x v="3"/>
    <d v="2024-05-03T00:00:00"/>
    <d v="2024-05-24T00:00:00"/>
    <x v="2"/>
    <n v="9"/>
    <n v="76"/>
    <n v="9.9985597205614507"/>
    <n v="10.866487145184125"/>
    <n v="825.85302303399351"/>
    <n v="759.8905387626703"/>
    <n v="65.962484271323206"/>
    <n v="5.2997868632801666"/>
    <n v="71.262271134603367"/>
    <n v="0"/>
    <n v="0"/>
    <n v="0"/>
    <n v="71.262271134603367"/>
  </r>
  <r>
    <x v="4"/>
    <d v="2024-06-05T00:00:00"/>
    <d v="2024-06-24T00:00:00"/>
    <x v="2"/>
    <n v="9"/>
    <n v="120"/>
    <n v="9.9985597205614507"/>
    <n v="10.866487145184125"/>
    <n v="1303.9784574220951"/>
    <n v="1199.8271664673741"/>
    <n v="104.15129095472093"/>
    <n v="8.3680845209686847"/>
    <n v="112.51937547568961"/>
    <n v="0"/>
    <n v="0"/>
    <n v="0"/>
    <n v="112.51937547568961"/>
  </r>
  <r>
    <x v="5"/>
    <d v="2024-07-03T00:00:00"/>
    <d v="2024-07-24T00:00:00"/>
    <x v="2"/>
    <n v="9"/>
    <n v="147"/>
    <n v="9.9985597205614507"/>
    <n v="10.866487145184125"/>
    <n v="1597.3736103420665"/>
    <n v="1469.7882789225332"/>
    <n v="127.5853314195333"/>
    <n v="10.250903538186638"/>
    <n v="137.83623495771994"/>
    <n v="0"/>
    <n v="0"/>
    <n v="0"/>
    <n v="137.83623495771994"/>
  </r>
  <r>
    <x v="6"/>
    <d v="2024-08-05T00:00:00"/>
    <d v="2024-08-26T00:00:00"/>
    <x v="2"/>
    <n v="9"/>
    <n v="155"/>
    <n v="9.9985597205614507"/>
    <n v="10.866487145184125"/>
    <n v="1684.3055075035395"/>
    <n v="1549.7767566870248"/>
    <n v="134.52875081651473"/>
    <n v="10.80877583958455"/>
    <n v="145.33752665609927"/>
    <n v="0"/>
    <n v="0"/>
    <n v="0"/>
    <n v="145.33752665609927"/>
  </r>
  <r>
    <x v="7"/>
    <d v="2024-09-04T00:00:00"/>
    <d v="2024-09-24T00:00:00"/>
    <x v="2"/>
    <n v="9"/>
    <n v="157"/>
    <n v="9.9985597205614507"/>
    <n v="10.866487145184125"/>
    <n v="1706.0384817939077"/>
    <n v="1569.7738761281478"/>
    <n v="136.26460566575997"/>
    <n v="10.948243914934027"/>
    <n v="147.21284958069401"/>
    <n v="0"/>
    <n v="0"/>
    <n v="0"/>
    <n v="147.21284958069401"/>
  </r>
  <r>
    <x v="8"/>
    <d v="2024-10-03T00:00:00"/>
    <d v="2024-10-24T00:00:00"/>
    <x v="2"/>
    <n v="9"/>
    <n v="126"/>
    <n v="9.9985597205614507"/>
    <n v="10.866487145184125"/>
    <n v="1369.1773802931998"/>
    <n v="1259.8185247907427"/>
    <n v="109.35885550245712"/>
    <n v="8.7864887470171169"/>
    <n v="118.14534424947423"/>
    <n v="0"/>
    <n v="0"/>
    <n v="0"/>
    <n v="118.14534424947423"/>
  </r>
  <r>
    <x v="9"/>
    <d v="2024-11-05T00:00:00"/>
    <d v="2024-11-25T00:00:00"/>
    <x v="2"/>
    <n v="9"/>
    <n v="112"/>
    <n v="9.9985597205614507"/>
    <n v="10.866487145184125"/>
    <n v="1217.0465602606221"/>
    <n v="1119.8386887028826"/>
    <n v="97.207871557739509"/>
    <n v="7.8102122195707713"/>
    <n v="105.01808377731028"/>
    <n v="0"/>
    <n v="0"/>
    <n v="0"/>
    <n v="105.01808377731028"/>
  </r>
  <r>
    <x v="10"/>
    <d v="2024-12-04T00:00:00"/>
    <d v="2024-12-24T00:00:00"/>
    <x v="2"/>
    <n v="9"/>
    <n v="93"/>
    <n v="9.9985597205614507"/>
    <n v="10.866487145184125"/>
    <n v="1010.5833045021236"/>
    <n v="929.86605401221493"/>
    <n v="80.717250489908679"/>
    <n v="6.4852655037507301"/>
    <n v="87.202515993659404"/>
    <n v="0"/>
    <n v="0"/>
    <n v="0"/>
    <n v="87.202515993659404"/>
  </r>
  <r>
    <x v="11"/>
    <d v="2025-01-03T00:00:00"/>
    <d v="2025-01-24T00:00:00"/>
    <x v="2"/>
    <n v="9"/>
    <n v="128"/>
    <n v="9.9985597205614507"/>
    <n v="10.866487145184125"/>
    <n v="1390.9103545835681"/>
    <n v="1279.8156442318657"/>
    <n v="111.09471035170236"/>
    <n v="8.9259568223665955"/>
    <n v="120.02066717406896"/>
    <n v="0"/>
    <n v="0"/>
    <n v="0"/>
    <n v="120.02066717406896"/>
  </r>
  <r>
    <x v="0"/>
    <d v="2024-02-05T00:00:00"/>
    <d v="2024-02-26T00:00:00"/>
    <x v="3"/>
    <n v="9"/>
    <n v="1129"/>
    <n v="9.9985597205614507"/>
    <n v="10.866487145184125"/>
    <n v="12268.263986912878"/>
    <n v="11288.373924513879"/>
    <n v="979.89006239899936"/>
    <n v="78.729728534780364"/>
    <n v="1058.6197909337798"/>
    <n v="0"/>
    <n v="0"/>
    <n v="0"/>
    <n v="1058.6197909337798"/>
  </r>
  <r>
    <x v="1"/>
    <d v="2024-03-05T00:00:00"/>
    <d v="2024-03-25T00:00:00"/>
    <x v="3"/>
    <n v="9"/>
    <n v="739"/>
    <n v="9.9985597205614507"/>
    <n v="10.866487145184125"/>
    <n v="8030.3340002910691"/>
    <n v="7388.9356334949125"/>
    <n v="641.39836679615655"/>
    <n v="51.533453841632145"/>
    <n v="692.93182063778875"/>
    <n v="0"/>
    <n v="0"/>
    <n v="0"/>
    <n v="692.93182063778875"/>
  </r>
  <r>
    <x v="2"/>
    <d v="2024-04-03T00:00:00"/>
    <d v="2024-04-24T00:00:00"/>
    <x v="3"/>
    <n v="9"/>
    <n v="642"/>
    <n v="9.9985597205614507"/>
    <n v="10.866487145184125"/>
    <n v="6976.2847472082085"/>
    <n v="6419.0753406004515"/>
    <n v="557.20940660775705"/>
    <n v="44.76925218718246"/>
    <n v="601.97865879493952"/>
    <n v="0"/>
    <n v="0"/>
    <n v="0"/>
    <n v="601.97865879493952"/>
  </r>
  <r>
    <x v="3"/>
    <d v="2024-05-03T00:00:00"/>
    <d v="2024-05-24T00:00:00"/>
    <x v="3"/>
    <n v="9"/>
    <n v="581"/>
    <n v="9.9985597205614507"/>
    <n v="10.866487145184125"/>
    <n v="6313.4290313519768"/>
    <n v="5809.1631976462031"/>
    <n v="504.26583370577373"/>
    <n v="40.515475889023378"/>
    <n v="544.78130959479711"/>
    <n v="0"/>
    <n v="0"/>
    <n v="0"/>
    <n v="544.78130959479711"/>
  </r>
  <r>
    <x v="4"/>
    <d v="2024-06-05T00:00:00"/>
    <d v="2024-06-24T00:00:00"/>
    <x v="3"/>
    <n v="9"/>
    <n v="753"/>
    <n v="9.9985597205614507"/>
    <n v="10.866487145184125"/>
    <n v="8182.4648203236466"/>
    <n v="7528.9154695827719"/>
    <n v="653.54935074087462"/>
    <n v="52.50973036907849"/>
    <n v="706.05908110995313"/>
    <n v="0"/>
    <n v="0"/>
    <n v="0"/>
    <n v="706.05908110995313"/>
  </r>
  <r>
    <x v="5"/>
    <d v="2024-07-03T00:00:00"/>
    <d v="2024-07-24T00:00:00"/>
    <x v="3"/>
    <n v="9"/>
    <n v="1001"/>
    <n v="9.9985597205614507"/>
    <n v="10.866487145184125"/>
    <n v="10877.35363232931"/>
    <n v="10008.558280282012"/>
    <n v="868.79535204729837"/>
    <n v="69.803771712413763"/>
    <n v="938.59912375971214"/>
    <n v="0"/>
    <n v="0"/>
    <n v="0"/>
    <n v="938.59912375971214"/>
  </r>
  <r>
    <x v="6"/>
    <d v="2024-08-05T00:00:00"/>
    <d v="2024-08-26T00:00:00"/>
    <x v="3"/>
    <n v="9"/>
    <n v="961"/>
    <n v="9.9985597205614507"/>
    <n v="10.866487145184125"/>
    <n v="10442.694146521944"/>
    <n v="9608.6158914595544"/>
    <n v="834.07825506238987"/>
    <n v="67.014410205424198"/>
    <n v="901.09266526781403"/>
    <n v="0"/>
    <n v="0"/>
    <n v="0"/>
    <n v="901.09266526781403"/>
  </r>
  <r>
    <x v="7"/>
    <d v="2024-09-04T00:00:00"/>
    <d v="2024-09-24T00:00:00"/>
    <x v="3"/>
    <n v="9"/>
    <n v="1017"/>
    <n v="9.9985597205614507"/>
    <n v="10.866487145184125"/>
    <n v="11051.217426652256"/>
    <n v="10168.535235810996"/>
    <n v="882.68219084126031"/>
    <n v="70.919516315209592"/>
    <n v="953.60170715646996"/>
    <n v="0"/>
    <n v="0"/>
    <n v="0"/>
    <n v="953.60170715646996"/>
  </r>
  <r>
    <x v="8"/>
    <d v="2024-10-03T00:00:00"/>
    <d v="2024-10-24T00:00:00"/>
    <x v="3"/>
    <n v="9"/>
    <n v="856"/>
    <n v="9.9985597205614507"/>
    <n v="10.866487145184125"/>
    <n v="9301.7129962776107"/>
    <n v="8558.7671208006013"/>
    <n v="742.94587547700939"/>
    <n v="59.692336249576606"/>
    <n v="802.63821172658595"/>
    <n v="0"/>
    <n v="0"/>
    <n v="0"/>
    <n v="802.63821172658595"/>
  </r>
  <r>
    <x v="9"/>
    <d v="2024-11-05T00:00:00"/>
    <d v="2024-11-25T00:00:00"/>
    <x v="3"/>
    <n v="9"/>
    <n v="786"/>
    <n v="9.9985597205614507"/>
    <n v="10.866487145184125"/>
    <n v="8541.0588961147223"/>
    <n v="7858.8679403613005"/>
    <n v="682.1909557534218"/>
    <n v="54.810953612344875"/>
    <n v="737.00190936576666"/>
    <n v="0"/>
    <n v="0"/>
    <n v="0"/>
    <n v="737.00190936576666"/>
  </r>
  <r>
    <x v="10"/>
    <d v="2024-12-04T00:00:00"/>
    <d v="2024-12-24T00:00:00"/>
    <x v="3"/>
    <n v="9"/>
    <n v="463"/>
    <n v="9.9985597205614507"/>
    <n v="10.866487145184125"/>
    <n v="5031.1835482202505"/>
    <n v="4629.333150619952"/>
    <n v="401.85039760029849"/>
    <n v="32.286859443404175"/>
    <n v="434.13725704370268"/>
    <n v="0"/>
    <n v="0"/>
    <n v="0"/>
    <n v="434.13725704370268"/>
  </r>
  <r>
    <x v="11"/>
    <d v="2025-01-03T00:00:00"/>
    <d v="2025-01-24T00:00:00"/>
    <x v="3"/>
    <n v="9"/>
    <n v="725"/>
    <n v="9.9985597205614507"/>
    <n v="10.866487145184125"/>
    <n v="7878.2031802584906"/>
    <n v="7248.9557974070522"/>
    <n v="629.24738285143849"/>
    <n v="50.5571773141858"/>
    <n v="679.80456016562425"/>
    <n v="0"/>
    <n v="0"/>
    <n v="0"/>
    <n v="679.80456016562425"/>
  </r>
  <r>
    <x v="0"/>
    <d v="2024-02-05T00:00:00"/>
    <d v="2024-02-26T00:00:00"/>
    <x v="4"/>
    <n v="9"/>
    <n v="58"/>
    <n v="9.9985597205614507"/>
    <n v="10.866487145184125"/>
    <n v="630.25625442067928"/>
    <n v="579.91646379256417"/>
    <n v="50.339790628115111"/>
    <n v="4.0445741851348638"/>
    <n v="54.384364813249974"/>
    <n v="0"/>
    <n v="0"/>
    <n v="0"/>
    <n v="54.384364813249974"/>
  </r>
  <r>
    <x v="1"/>
    <d v="2024-03-05T00:00:00"/>
    <d v="2024-03-25T00:00:00"/>
    <x v="4"/>
    <n v="9"/>
    <n v="36"/>
    <n v="9.9985597205614507"/>
    <n v="10.866487145184125"/>
    <n v="391.19353722662851"/>
    <n v="359.9481499402122"/>
    <n v="31.245387286416303"/>
    <n v="2.5104253562906051"/>
    <n v="33.755812642706907"/>
    <n v="0"/>
    <n v="0"/>
    <n v="0"/>
    <n v="33.755812642706907"/>
  </r>
  <r>
    <x v="2"/>
    <d v="2024-04-03T00:00:00"/>
    <d v="2024-04-24T00:00:00"/>
    <x v="4"/>
    <n v="9"/>
    <n v="29"/>
    <n v="9.9985597205614507"/>
    <n v="10.866487145184125"/>
    <n v="315.12812721033964"/>
    <n v="289.95823189628209"/>
    <n v="25.169895314057555"/>
    <n v="2.0222870925674319"/>
    <n v="27.192182406624987"/>
    <n v="0"/>
    <n v="0"/>
    <n v="0"/>
    <n v="27.192182406624987"/>
  </r>
  <r>
    <x v="3"/>
    <d v="2024-05-03T00:00:00"/>
    <d v="2024-05-24T00:00:00"/>
    <x v="4"/>
    <n v="9"/>
    <n v="27"/>
    <n v="9.9985597205614507"/>
    <n v="10.866487145184125"/>
    <n v="293.39515291997139"/>
    <n v="269.9611124551592"/>
    <n v="23.434040464812199"/>
    <n v="1.882819017217954"/>
    <n v="25.316859482030154"/>
    <n v="0"/>
    <n v="0"/>
    <n v="0"/>
    <n v="25.316859482030154"/>
  </r>
  <r>
    <x v="4"/>
    <d v="2024-06-05T00:00:00"/>
    <d v="2024-06-24T00:00:00"/>
    <x v="4"/>
    <n v="9"/>
    <n v="36"/>
    <n v="9.9985597205614507"/>
    <n v="10.866487145184125"/>
    <n v="391.19353722662851"/>
    <n v="359.9481499402122"/>
    <n v="31.245387286416303"/>
    <n v="2.5104253562906051"/>
    <n v="33.755812642706907"/>
    <n v="0"/>
    <n v="0"/>
    <n v="0"/>
    <n v="33.755812642706907"/>
  </r>
  <r>
    <x v="5"/>
    <d v="2024-07-03T00:00:00"/>
    <d v="2024-07-24T00:00:00"/>
    <x v="4"/>
    <n v="9"/>
    <n v="53"/>
    <n v="9.9985597205614507"/>
    <n v="10.866487145184125"/>
    <n v="575.92381869475867"/>
    <n v="529.92366518975689"/>
    <n v="46.000153505001776"/>
    <n v="3.6959039967611687"/>
    <n v="49.696057501762944"/>
    <n v="0"/>
    <n v="0"/>
    <n v="0"/>
    <n v="49.696057501762944"/>
  </r>
  <r>
    <x v="6"/>
    <d v="2024-08-05T00:00:00"/>
    <d v="2024-08-26T00:00:00"/>
    <x v="4"/>
    <n v="9"/>
    <n v="53"/>
    <n v="9.9985597205614507"/>
    <n v="10.866487145184125"/>
    <n v="575.92381869475867"/>
    <n v="529.92366518975689"/>
    <n v="46.000153505001776"/>
    <n v="3.6959039967611687"/>
    <n v="49.696057501762944"/>
    <n v="0"/>
    <n v="0"/>
    <n v="0"/>
    <n v="49.696057501762944"/>
  </r>
  <r>
    <x v="7"/>
    <d v="2024-09-04T00:00:00"/>
    <d v="2024-09-24T00:00:00"/>
    <x v="4"/>
    <n v="9"/>
    <n v="54"/>
    <n v="9.9985597205614507"/>
    <n v="10.866487145184125"/>
    <n v="586.79030583994279"/>
    <n v="539.92222491031839"/>
    <n v="46.868080929624398"/>
    <n v="3.7656380344359079"/>
    <n v="50.633718964060307"/>
    <n v="0"/>
    <n v="0"/>
    <n v="0"/>
    <n v="50.633718964060307"/>
  </r>
  <r>
    <x v="8"/>
    <d v="2024-10-03T00:00:00"/>
    <d v="2024-10-24T00:00:00"/>
    <x v="4"/>
    <n v="9"/>
    <n v="48"/>
    <n v="9.9985597205614507"/>
    <n v="10.866487145184125"/>
    <n v="521.59138296883805"/>
    <n v="479.93086658694961"/>
    <n v="41.660516381888442"/>
    <n v="3.3472338083874735"/>
    <n v="45.007750190275914"/>
    <n v="0"/>
    <n v="0"/>
    <n v="0"/>
    <n v="45.007750190275914"/>
  </r>
  <r>
    <x v="9"/>
    <d v="2024-11-05T00:00:00"/>
    <d v="2024-11-25T00:00:00"/>
    <x v="4"/>
    <n v="9"/>
    <n v="41"/>
    <n v="9.9985597205614507"/>
    <n v="10.866487145184125"/>
    <n v="445.52597295254913"/>
    <n v="409.94094854301949"/>
    <n v="35.585024409529638"/>
    <n v="2.8590955446643003"/>
    <n v="38.444119954193937"/>
    <n v="0"/>
    <n v="0"/>
    <n v="0"/>
    <n v="38.444119954193937"/>
  </r>
  <r>
    <x v="10"/>
    <d v="2024-12-04T00:00:00"/>
    <d v="2024-12-24T00:00:00"/>
    <x v="4"/>
    <n v="9"/>
    <n v="22"/>
    <n v="9.9985597205614507"/>
    <n v="10.866487145184125"/>
    <n v="239.06271719405075"/>
    <n v="219.96831385235191"/>
    <n v="19.094403341698836"/>
    <n v="1.5341488288442586"/>
    <n v="20.628552170543095"/>
    <n v="0"/>
    <n v="0"/>
    <n v="0"/>
    <n v="20.628552170543095"/>
  </r>
  <r>
    <x v="11"/>
    <d v="2025-01-03T00:00:00"/>
    <d v="2025-01-24T00:00:00"/>
    <x v="4"/>
    <n v="9"/>
    <n v="37"/>
    <n v="9.9985597205614507"/>
    <n v="10.866487145184125"/>
    <n v="402.06002437181263"/>
    <n v="369.94670966077365"/>
    <n v="32.113314711038981"/>
    <n v="2.580159393965344"/>
    <n v="34.693474105004327"/>
    <n v="0"/>
    <n v="0"/>
    <n v="0"/>
    <n v="34.693474105004327"/>
  </r>
  <r>
    <x v="0"/>
    <d v="2024-02-05T00:00:00"/>
    <d v="2024-02-26T00:00:00"/>
    <x v="5"/>
    <n v="9"/>
    <n v="75"/>
    <n v="9.9985597205614507"/>
    <n v="10.866487145184125"/>
    <n v="814.98653588880939"/>
    <n v="749.8919790421088"/>
    <n v="65.094556846700584"/>
    <n v="5.2300528256054273"/>
    <n v="70.324609672306011"/>
    <n v="0"/>
    <n v="0"/>
    <n v="0"/>
    <n v="70.324609672306011"/>
  </r>
  <r>
    <x v="1"/>
    <d v="2024-03-05T00:00:00"/>
    <d v="2024-03-25T00:00:00"/>
    <x v="5"/>
    <n v="9"/>
    <n v="54"/>
    <n v="9.9985597205614507"/>
    <n v="10.866487145184125"/>
    <n v="586.79030583994279"/>
    <n v="539.92222491031839"/>
    <n v="46.868080929624398"/>
    <n v="3.7656380344359079"/>
    <n v="50.633718964060307"/>
    <n v="0"/>
    <n v="0"/>
    <n v="0"/>
    <n v="50.633718964060307"/>
  </r>
  <r>
    <x v="2"/>
    <d v="2024-04-03T00:00:00"/>
    <d v="2024-04-24T00:00:00"/>
    <x v="5"/>
    <n v="9"/>
    <n v="49"/>
    <n v="9.9985597205614507"/>
    <n v="10.866487145184125"/>
    <n v="532.45787011402217"/>
    <n v="489.92942630751111"/>
    <n v="42.528443806511063"/>
    <n v="3.4169678460622128"/>
    <n v="45.945411652573277"/>
    <n v="0"/>
    <n v="0"/>
    <n v="0"/>
    <n v="45.945411652573277"/>
  </r>
  <r>
    <x v="3"/>
    <d v="2024-05-03T00:00:00"/>
    <d v="2024-05-24T00:00:00"/>
    <x v="5"/>
    <n v="9"/>
    <n v="43"/>
    <n v="9.9985597205614507"/>
    <n v="10.866487145184125"/>
    <n v="467.25894724291737"/>
    <n v="429.93806798414238"/>
    <n v="37.320879258774994"/>
    <n v="2.9985636200137784"/>
    <n v="40.31944287878877"/>
    <n v="0"/>
    <n v="0"/>
    <n v="0"/>
    <n v="40.31944287878877"/>
  </r>
  <r>
    <x v="4"/>
    <d v="2024-06-05T00:00:00"/>
    <d v="2024-06-24T00:00:00"/>
    <x v="5"/>
    <n v="9"/>
    <n v="50"/>
    <n v="9.9985597205614507"/>
    <n v="10.866487145184125"/>
    <n v="543.32435725920629"/>
    <n v="499.92798602807255"/>
    <n v="43.396371231133742"/>
    <n v="3.4867018837369517"/>
    <n v="46.88307311487069"/>
    <n v="0"/>
    <n v="0"/>
    <n v="0"/>
    <n v="46.88307311487069"/>
  </r>
  <r>
    <x v="5"/>
    <d v="2024-07-03T00:00:00"/>
    <d v="2024-07-24T00:00:00"/>
    <x v="5"/>
    <n v="9"/>
    <n v="59"/>
    <n v="9.9985597205614507"/>
    <n v="10.866487145184125"/>
    <n v="641.12274156586341"/>
    <n v="589.91502351312556"/>
    <n v="51.207718052737846"/>
    <n v="4.1143082228096031"/>
    <n v="55.322026275547451"/>
    <n v="0"/>
    <n v="0"/>
    <n v="0"/>
    <n v="55.322026275547451"/>
  </r>
  <r>
    <x v="6"/>
    <d v="2024-08-05T00:00:00"/>
    <d v="2024-08-26T00:00:00"/>
    <x v="5"/>
    <n v="9"/>
    <n v="60"/>
    <n v="9.9985597205614507"/>
    <n v="10.866487145184125"/>
    <n v="651.98922871104753"/>
    <n v="599.91358323368706"/>
    <n v="52.075645477360467"/>
    <n v="4.1840422604843424"/>
    <n v="56.259687737844807"/>
    <n v="0"/>
    <n v="0"/>
    <n v="0"/>
    <n v="56.259687737844807"/>
  </r>
  <r>
    <x v="7"/>
    <d v="2024-09-04T00:00:00"/>
    <d v="2024-09-24T00:00:00"/>
    <x v="5"/>
    <n v="9"/>
    <n v="56"/>
    <n v="9.9985597205614507"/>
    <n v="10.866487145184125"/>
    <n v="608.52328013031104"/>
    <n v="559.91934435144128"/>
    <n v="48.603935778869754"/>
    <n v="3.9051061097853856"/>
    <n v="52.50904188865514"/>
    <n v="0"/>
    <n v="0"/>
    <n v="0"/>
    <n v="52.50904188865514"/>
  </r>
  <r>
    <x v="8"/>
    <d v="2024-10-03T00:00:00"/>
    <d v="2024-10-24T00:00:00"/>
    <x v="5"/>
    <n v="9"/>
    <n v="55"/>
    <n v="9.9985597205614507"/>
    <n v="10.866487145184125"/>
    <n v="597.65679298512691"/>
    <n v="549.92078463087978"/>
    <n v="47.736008354247133"/>
    <n v="3.8353720721106463"/>
    <n v="51.571380426357777"/>
    <n v="0"/>
    <n v="0"/>
    <n v="0"/>
    <n v="51.571380426357777"/>
  </r>
  <r>
    <x v="9"/>
    <d v="2024-11-05T00:00:00"/>
    <d v="2024-11-25T00:00:00"/>
    <x v="5"/>
    <n v="9"/>
    <n v="51"/>
    <n v="9.9985597205614507"/>
    <n v="10.866487145184125"/>
    <n v="554.19084440439042"/>
    <n v="509.926545748634"/>
    <n v="44.26429865575642"/>
    <n v="3.5564359214116905"/>
    <n v="47.82073457716811"/>
    <n v="0"/>
    <n v="0"/>
    <n v="0"/>
    <n v="47.82073457716811"/>
  </r>
  <r>
    <x v="10"/>
    <d v="2024-12-04T00:00:00"/>
    <d v="2024-12-24T00:00:00"/>
    <x v="5"/>
    <n v="9"/>
    <n v="40"/>
    <n v="9.9985597205614507"/>
    <n v="10.866487145184125"/>
    <n v="434.659485807365"/>
    <n v="399.94238882245804"/>
    <n v="34.717096984906959"/>
    <n v="2.7893615069895614"/>
    <n v="37.506458491896524"/>
    <n v="0"/>
    <n v="0"/>
    <n v="0"/>
    <n v="37.506458491896524"/>
  </r>
  <r>
    <x v="11"/>
    <d v="2025-01-03T00:00:00"/>
    <d v="2025-01-24T00:00:00"/>
    <x v="5"/>
    <n v="9"/>
    <n v="51"/>
    <n v="9.9985597205614507"/>
    <n v="10.866487145184125"/>
    <n v="554.19084440439042"/>
    <n v="509.926545748634"/>
    <n v="44.26429865575642"/>
    <n v="3.5564359214116905"/>
    <n v="47.82073457716811"/>
    <n v="0"/>
    <n v="0"/>
    <n v="0"/>
    <n v="47.82073457716811"/>
  </r>
  <r>
    <x v="0"/>
    <d v="2024-02-05T00:00:00"/>
    <d v="2024-02-26T00:00:00"/>
    <x v="6"/>
    <n v="9"/>
    <n v="94"/>
    <n v="9.9985597205614507"/>
    <n v="10.866487145184125"/>
    <n v="1021.4497916473077"/>
    <n v="939.86461373277632"/>
    <n v="81.585177914531414"/>
    <n v="6.5549995414254694"/>
    <n v="88.140177455956888"/>
    <n v="0"/>
    <n v="0"/>
    <n v="0"/>
    <n v="88.140177455956888"/>
  </r>
  <r>
    <x v="1"/>
    <d v="2024-03-05T00:00:00"/>
    <d v="2024-03-25T00:00:00"/>
    <x v="6"/>
    <n v="9"/>
    <n v="62"/>
    <n v="9.9985597205614507"/>
    <n v="10.866487145184125"/>
    <n v="673.72220300141578"/>
    <n v="619.91070267480995"/>
    <n v="53.811500326605824"/>
    <n v="4.3235103358338201"/>
    <n v="58.13501066243964"/>
    <n v="0"/>
    <n v="0"/>
    <n v="0"/>
    <n v="58.13501066243964"/>
  </r>
  <r>
    <x v="2"/>
    <d v="2024-04-03T00:00:00"/>
    <d v="2024-04-24T00:00:00"/>
    <x v="6"/>
    <n v="9"/>
    <n v="60"/>
    <n v="9.9985597205614507"/>
    <n v="10.866487145184125"/>
    <n v="651.98922871104753"/>
    <n v="599.91358323368706"/>
    <n v="52.075645477360467"/>
    <n v="4.1840422604843424"/>
    <n v="56.259687737844807"/>
    <n v="0"/>
    <n v="0"/>
    <n v="0"/>
    <n v="56.259687737844807"/>
  </r>
  <r>
    <x v="3"/>
    <d v="2024-05-03T00:00:00"/>
    <d v="2024-05-24T00:00:00"/>
    <x v="6"/>
    <n v="9"/>
    <n v="92"/>
    <n v="9.9985597205614507"/>
    <n v="10.866487145184125"/>
    <n v="999.71681735693949"/>
    <n v="919.86749429165343"/>
    <n v="79.849323065286057"/>
    <n v="6.4155314660759908"/>
    <n v="86.264854531362047"/>
    <n v="0"/>
    <n v="0"/>
    <n v="0"/>
    <n v="86.264854531362047"/>
  </r>
  <r>
    <x v="4"/>
    <d v="2024-06-05T00:00:00"/>
    <d v="2024-06-24T00:00:00"/>
    <x v="6"/>
    <n v="9"/>
    <n v="118"/>
    <n v="9.9985597205614507"/>
    <n v="10.866487145184125"/>
    <n v="1282.2454831317268"/>
    <n v="1179.8300470262511"/>
    <n v="102.41543610547569"/>
    <n v="8.2286164456192061"/>
    <n v="110.6440525510949"/>
    <n v="0"/>
    <n v="0"/>
    <n v="0"/>
    <n v="110.6440525510949"/>
  </r>
  <r>
    <x v="5"/>
    <d v="2024-07-03T00:00:00"/>
    <d v="2024-07-24T00:00:00"/>
    <x v="6"/>
    <n v="9"/>
    <n v="143"/>
    <n v="9.9985597205614507"/>
    <n v="10.866487145184125"/>
    <n v="1553.90766176133"/>
    <n v="1429.7940400402874"/>
    <n v="124.11362172104259"/>
    <n v="9.9719673874876804"/>
    <n v="134.08558910853026"/>
    <n v="0"/>
    <n v="0"/>
    <n v="0"/>
    <n v="134.08558910853026"/>
  </r>
  <r>
    <x v="6"/>
    <d v="2024-08-05T00:00:00"/>
    <d v="2024-08-26T00:00:00"/>
    <x v="6"/>
    <n v="9"/>
    <n v="151"/>
    <n v="9.9985597205614507"/>
    <n v="10.866487145184125"/>
    <n v="1640.839558922803"/>
    <n v="1509.782517804779"/>
    <n v="131.05704111802402"/>
    <n v="10.529839688885593"/>
    <n v="141.58688080690962"/>
    <n v="0"/>
    <n v="0"/>
    <n v="0"/>
    <n v="141.58688080690962"/>
  </r>
  <r>
    <x v="7"/>
    <d v="2024-09-04T00:00:00"/>
    <d v="2024-09-24T00:00:00"/>
    <x v="6"/>
    <n v="9"/>
    <n v="157"/>
    <n v="9.9985597205614507"/>
    <n v="10.866487145184125"/>
    <n v="1706.0384817939077"/>
    <n v="1569.7738761281478"/>
    <n v="136.26460566575997"/>
    <n v="10.948243914934027"/>
    <n v="147.21284958069401"/>
    <n v="0"/>
    <n v="0"/>
    <n v="0"/>
    <n v="147.21284958069401"/>
  </r>
  <r>
    <x v="8"/>
    <d v="2024-10-03T00:00:00"/>
    <d v="2024-10-24T00:00:00"/>
    <x v="6"/>
    <n v="9"/>
    <n v="146"/>
    <n v="9.9985597205614507"/>
    <n v="10.866487145184125"/>
    <n v="1586.5071231968823"/>
    <n v="1459.7897192019718"/>
    <n v="126.71740399491046"/>
    <n v="10.181169500511897"/>
    <n v="136.89857349542234"/>
    <n v="0"/>
    <n v="0"/>
    <n v="0"/>
    <n v="136.89857349542234"/>
  </r>
  <r>
    <x v="9"/>
    <d v="2024-11-05T00:00:00"/>
    <d v="2024-11-25T00:00:00"/>
    <x v="6"/>
    <n v="9"/>
    <n v="116"/>
    <n v="9.9985597205614507"/>
    <n v="10.866487145184125"/>
    <n v="1260.5125088413586"/>
    <n v="1159.8329275851283"/>
    <n v="100.67958125623022"/>
    <n v="8.0891483702697276"/>
    <n v="108.76872962649995"/>
    <n v="0"/>
    <n v="0"/>
    <n v="0"/>
    <n v="108.76872962649995"/>
  </r>
  <r>
    <x v="10"/>
    <d v="2024-12-04T00:00:00"/>
    <d v="2024-12-24T00:00:00"/>
    <x v="6"/>
    <n v="9"/>
    <n v="62"/>
    <n v="9.9985597205614507"/>
    <n v="10.866487145184125"/>
    <n v="673.72220300141578"/>
    <n v="619.91070267480995"/>
    <n v="53.811500326605824"/>
    <n v="4.3235103358338201"/>
    <n v="58.13501066243964"/>
    <n v="0"/>
    <n v="0"/>
    <n v="0"/>
    <n v="58.13501066243964"/>
  </r>
  <r>
    <x v="11"/>
    <d v="2025-01-03T00:00:00"/>
    <d v="2025-01-24T00:00:00"/>
    <x v="6"/>
    <n v="9"/>
    <n v="77"/>
    <n v="9.9985597205614507"/>
    <n v="10.866487145184125"/>
    <n v="836.71951017917763"/>
    <n v="769.88909848323169"/>
    <n v="66.830411695945941"/>
    <n v="5.369520900954905"/>
    <n v="72.199932596900851"/>
    <n v="0"/>
    <n v="0"/>
    <n v="0"/>
    <n v="72.199932596900851"/>
  </r>
  <r>
    <x v="0"/>
    <d v="2024-02-05T00:00:00"/>
    <d v="2024-02-26T00:00:00"/>
    <x v="7"/>
    <n v="9"/>
    <n v="65"/>
    <n v="9.9985597205614507"/>
    <n v="10.866487145184125"/>
    <n v="706.32166443696815"/>
    <n v="649.90638183649435"/>
    <n v="56.415282600473802"/>
    <n v="4.532712448858037"/>
    <n v="60.947995049331837"/>
    <n v="0"/>
    <n v="0"/>
    <n v="0"/>
    <n v="60.947995049331837"/>
  </r>
  <r>
    <x v="1"/>
    <d v="2024-03-05T00:00:00"/>
    <d v="2024-03-25T00:00:00"/>
    <x v="7"/>
    <n v="9"/>
    <n v="65"/>
    <n v="9.9985597205614507"/>
    <n v="10.866487145184125"/>
    <n v="706.32166443696815"/>
    <n v="649.90638183649435"/>
    <n v="56.415282600473802"/>
    <n v="4.532712448858037"/>
    <n v="60.947995049331837"/>
    <n v="0"/>
    <n v="0"/>
    <n v="0"/>
    <n v="60.947995049331837"/>
  </r>
  <r>
    <x v="2"/>
    <d v="2024-04-03T00:00:00"/>
    <d v="2024-04-24T00:00:00"/>
    <x v="7"/>
    <n v="9"/>
    <n v="64"/>
    <n v="9.9985597205614507"/>
    <n v="10.866487145184125"/>
    <n v="695.45517729178403"/>
    <n v="639.90782211593285"/>
    <n v="55.54735517585118"/>
    <n v="4.4629784111832977"/>
    <n v="60.010333587034481"/>
    <n v="0"/>
    <n v="0"/>
    <n v="0"/>
    <n v="60.010333587034481"/>
  </r>
  <r>
    <x v="3"/>
    <d v="2024-05-03T00:00:00"/>
    <d v="2024-05-24T00:00:00"/>
    <x v="7"/>
    <n v="9"/>
    <n v="65"/>
    <n v="9.9985597205614507"/>
    <n v="10.866487145184125"/>
    <n v="706.32166443696815"/>
    <n v="649.90638183649435"/>
    <n v="56.415282600473802"/>
    <n v="4.532712448858037"/>
    <n v="60.947995049331837"/>
    <n v="0"/>
    <n v="0"/>
    <n v="0"/>
    <n v="60.947995049331837"/>
  </r>
  <r>
    <x v="4"/>
    <d v="2024-06-05T00:00:00"/>
    <d v="2024-06-24T00:00:00"/>
    <x v="7"/>
    <n v="9"/>
    <n v="51"/>
    <n v="9.9985597205614507"/>
    <n v="10.866487145184125"/>
    <n v="554.19084440439042"/>
    <n v="509.926545748634"/>
    <n v="44.26429865575642"/>
    <n v="3.5564359214116905"/>
    <n v="47.82073457716811"/>
    <n v="0"/>
    <n v="0"/>
    <n v="0"/>
    <n v="47.82073457716811"/>
  </r>
  <r>
    <x v="5"/>
    <d v="2024-07-03T00:00:00"/>
    <d v="2024-07-24T00:00:00"/>
    <x v="7"/>
    <n v="9"/>
    <n v="59"/>
    <n v="9.9985597205614507"/>
    <n v="10.866487145184125"/>
    <n v="641.12274156586341"/>
    <n v="589.91502351312556"/>
    <n v="51.207718052737846"/>
    <n v="4.1143082228096031"/>
    <n v="55.322026275547451"/>
    <n v="0"/>
    <n v="0"/>
    <n v="0"/>
    <n v="55.322026275547451"/>
  </r>
  <r>
    <x v="6"/>
    <d v="2024-08-05T00:00:00"/>
    <d v="2024-08-26T00:00:00"/>
    <x v="7"/>
    <n v="9"/>
    <n v="67"/>
    <n v="9.9985597205614507"/>
    <n v="10.866487145184125"/>
    <n v="728.0546387273364"/>
    <n v="669.90350127761724"/>
    <n v="58.151137449719158"/>
    <n v="4.6721805242075147"/>
    <n v="62.82331797392667"/>
    <n v="0"/>
    <n v="0"/>
    <n v="0"/>
    <n v="62.82331797392667"/>
  </r>
  <r>
    <x v="7"/>
    <d v="2024-09-04T00:00:00"/>
    <d v="2024-09-24T00:00:00"/>
    <x v="7"/>
    <n v="9"/>
    <n v="70"/>
    <n v="9.9985597205614507"/>
    <n v="10.866487145184125"/>
    <n v="760.65410016288877"/>
    <n v="699.89918043930152"/>
    <n v="60.75491972358725"/>
    <n v="4.8813826372317317"/>
    <n v="65.636302360818988"/>
    <n v="0"/>
    <n v="0"/>
    <n v="0"/>
    <n v="65.636302360818988"/>
  </r>
  <r>
    <x v="8"/>
    <d v="2024-10-03T00:00:00"/>
    <d v="2024-10-24T00:00:00"/>
    <x v="7"/>
    <n v="9"/>
    <n v="72"/>
    <n v="9.9985597205614507"/>
    <n v="10.866487145184125"/>
    <n v="782.38707445325701"/>
    <n v="719.89629988042441"/>
    <n v="62.490774572832606"/>
    <n v="5.0208507125812103"/>
    <n v="67.511625285413814"/>
    <n v="0"/>
    <n v="0"/>
    <n v="0"/>
    <n v="67.511625285413814"/>
  </r>
  <r>
    <x v="9"/>
    <d v="2024-11-05T00:00:00"/>
    <d v="2024-11-25T00:00:00"/>
    <x v="7"/>
    <n v="9"/>
    <n v="73"/>
    <n v="9.9985597205614507"/>
    <n v="10.866487145184125"/>
    <n v="793.25356159844114"/>
    <n v="729.89485960098591"/>
    <n v="63.358701997455228"/>
    <n v="5.0905847502559487"/>
    <n v="68.44928674771117"/>
    <n v="0"/>
    <n v="0"/>
    <n v="0"/>
    <n v="68.44928674771117"/>
  </r>
  <r>
    <x v="10"/>
    <d v="2024-12-04T00:00:00"/>
    <d v="2024-12-24T00:00:00"/>
    <x v="7"/>
    <n v="9"/>
    <n v="72"/>
    <n v="9.9985597205614507"/>
    <n v="10.866487145184125"/>
    <n v="782.38707445325701"/>
    <n v="719.89629988042441"/>
    <n v="62.490774572832606"/>
    <n v="5.0208507125812103"/>
    <n v="67.511625285413814"/>
    <n v="0"/>
    <n v="0"/>
    <n v="0"/>
    <n v="67.511625285413814"/>
  </r>
  <r>
    <x v="11"/>
    <d v="2025-01-03T00:00:00"/>
    <d v="2025-01-24T00:00:00"/>
    <x v="7"/>
    <n v="9"/>
    <n v="65"/>
    <n v="9.9985597205614507"/>
    <n v="10.866487145184125"/>
    <n v="706.32166443696815"/>
    <n v="649.90638183649435"/>
    <n v="56.415282600473802"/>
    <n v="4.532712448858037"/>
    <n v="60.947995049331837"/>
    <n v="0"/>
    <n v="0"/>
    <n v="0"/>
    <n v="60.947995049331837"/>
  </r>
  <r>
    <x v="0"/>
    <d v="2024-02-05T00:00:00"/>
    <d v="2024-02-26T00:00:00"/>
    <x v="8"/>
    <n v="9"/>
    <n v="1452"/>
    <n v="9.9985597205614507"/>
    <n v="10.866487145184125"/>
    <n v="15778.139334807351"/>
    <n v="14517.908714255227"/>
    <n v="1260.2306205521236"/>
    <n v="101.25382270372107"/>
    <n v="1361.4844432558446"/>
    <n v="0"/>
    <n v="0"/>
    <n v="0"/>
    <n v="1361.4844432558446"/>
  </r>
  <r>
    <x v="1"/>
    <d v="2024-03-05T00:00:00"/>
    <d v="2024-03-25T00:00:00"/>
    <x v="8"/>
    <n v="9"/>
    <n v="966"/>
    <n v="9.9985597205614507"/>
    <n v="10.866487145184125"/>
    <n v="10497.026582247865"/>
    <n v="9658.6086900623613"/>
    <n v="838.41789218550366"/>
    <n v="67.363080393797901"/>
    <n v="905.78097257930153"/>
    <n v="0"/>
    <n v="0"/>
    <n v="0"/>
    <n v="905.78097257930153"/>
  </r>
  <r>
    <x v="2"/>
    <d v="2024-04-03T00:00:00"/>
    <d v="2024-04-24T00:00:00"/>
    <x v="8"/>
    <n v="9"/>
    <n v="732"/>
    <n v="9.9985597205614507"/>
    <n v="10.866487145184125"/>
    <n v="7954.2685902747799"/>
    <n v="7318.9457154509819"/>
    <n v="635.32287482379797"/>
    <n v="51.045315577908973"/>
    <n v="686.3681904017069"/>
    <n v="0"/>
    <n v="0"/>
    <n v="0"/>
    <n v="686.3681904017069"/>
  </r>
  <r>
    <x v="3"/>
    <d v="2024-05-03T00:00:00"/>
    <d v="2024-05-24T00:00:00"/>
    <x v="8"/>
    <n v="9"/>
    <n v="547"/>
    <n v="9.9985597205614507"/>
    <n v="10.866487145184125"/>
    <n v="5943.9684684157164"/>
    <n v="5469.2121671471132"/>
    <n v="474.75630126860324"/>
    <n v="38.144518608082251"/>
    <n v="512.90081987668555"/>
    <n v="0"/>
    <n v="0"/>
    <n v="0"/>
    <n v="512.90081987668555"/>
  </r>
  <r>
    <x v="4"/>
    <d v="2024-06-05T00:00:00"/>
    <d v="2024-06-24T00:00:00"/>
    <x v="8"/>
    <n v="9"/>
    <n v="747"/>
    <n v="9.9985597205614507"/>
    <n v="10.866487145184125"/>
    <n v="8117.265897452542"/>
    <n v="7468.9241112594036"/>
    <n v="648.34178619313843"/>
    <n v="52.091326143030059"/>
    <n v="700.43311233616851"/>
    <n v="0"/>
    <n v="0"/>
    <n v="0"/>
    <n v="700.43311233616851"/>
  </r>
  <r>
    <x v="5"/>
    <d v="2024-07-03T00:00:00"/>
    <d v="2024-07-24T00:00:00"/>
    <x v="8"/>
    <n v="9"/>
    <n v="917"/>
    <n v="9.9985597205614507"/>
    <n v="10.866487145184125"/>
    <n v="9964.5687121338433"/>
    <n v="9168.6792637548497"/>
    <n v="795.88944837899362"/>
    <n v="63.946112547735694"/>
    <n v="859.83556092672927"/>
    <n v="0"/>
    <n v="0"/>
    <n v="0"/>
    <n v="859.83556092672927"/>
  </r>
  <r>
    <x v="6"/>
    <d v="2024-08-05T00:00:00"/>
    <d v="2024-08-26T00:00:00"/>
    <x v="8"/>
    <n v="9"/>
    <n v="950"/>
    <n v="9.9985597205614507"/>
    <n v="10.866487145184125"/>
    <n v="10323.162787924919"/>
    <n v="9498.6317345333773"/>
    <n v="824.53105339154172"/>
    <n v="66.247335791002087"/>
    <n v="890.77838918254383"/>
    <n v="0"/>
    <n v="0"/>
    <n v="0"/>
    <n v="890.77838918254383"/>
  </r>
  <r>
    <x v="7"/>
    <d v="2024-09-04T00:00:00"/>
    <d v="2024-09-24T00:00:00"/>
    <x v="8"/>
    <n v="9"/>
    <n v="940"/>
    <n v="9.9985597205614507"/>
    <n v="10.866487145184125"/>
    <n v="10214.497916473078"/>
    <n v="9398.6461373277634"/>
    <n v="815.85177914531414"/>
    <n v="65.549995414254681"/>
    <n v="881.40177455956882"/>
    <n v="0"/>
    <n v="0"/>
    <n v="0"/>
    <n v="881.40177455956882"/>
  </r>
  <r>
    <x v="8"/>
    <d v="2024-10-03T00:00:00"/>
    <d v="2024-10-24T00:00:00"/>
    <x v="8"/>
    <n v="9"/>
    <n v="816"/>
    <n v="9.9985597205614507"/>
    <n v="10.866487145184125"/>
    <n v="8867.0535104702467"/>
    <n v="8158.824731978144"/>
    <n v="708.22877849210272"/>
    <n v="56.902974742587048"/>
    <n v="765.13175323468977"/>
    <n v="0"/>
    <n v="0"/>
    <n v="0"/>
    <n v="765.13175323468977"/>
  </r>
  <r>
    <x v="9"/>
    <d v="2024-11-05T00:00:00"/>
    <d v="2024-11-25T00:00:00"/>
    <x v="8"/>
    <n v="9"/>
    <n v="683"/>
    <n v="9.9985597205614507"/>
    <n v="10.866487145184125"/>
    <n v="7421.8107201607572"/>
    <n v="6829.0162891434711"/>
    <n v="592.79443101728612"/>
    <n v="47.628347731846759"/>
    <n v="640.42277874913293"/>
    <n v="0"/>
    <n v="0"/>
    <n v="0"/>
    <n v="640.42277874913293"/>
  </r>
  <r>
    <x v="10"/>
    <d v="2024-12-04T00:00:00"/>
    <d v="2024-12-24T00:00:00"/>
    <x v="8"/>
    <n v="9"/>
    <n v="525"/>
    <n v="9.9985597205614507"/>
    <n v="10.866487145184125"/>
    <n v="5704.9057512216659"/>
    <n v="5249.2438532947617"/>
    <n v="455.6618979269042"/>
    <n v="36.610369779237992"/>
    <n v="492.2722677061422"/>
    <n v="0"/>
    <n v="0"/>
    <n v="0"/>
    <n v="492.2722677061422"/>
  </r>
  <r>
    <x v="11"/>
    <d v="2025-01-03T00:00:00"/>
    <d v="2025-01-24T00:00:00"/>
    <x v="8"/>
    <n v="9"/>
    <n v="863"/>
    <n v="9.9985597205614507"/>
    <n v="10.866487145184125"/>
    <n v="9377.7784062939008"/>
    <n v="8628.7570388445311"/>
    <n v="749.02136744936979"/>
    <n v="60.180474513299785"/>
    <n v="809.20184196266962"/>
    <n v="0"/>
    <n v="0"/>
    <n v="0"/>
    <n v="809.20184196266962"/>
  </r>
  <r>
    <x v="0"/>
    <d v="2024-02-05T00:00:00"/>
    <d v="2024-02-26T00:00:00"/>
    <x v="9"/>
    <n v="9"/>
    <n v="8"/>
    <n v="9.9985597205614507"/>
    <n v="10.866487145184125"/>
    <n v="86.931897161473003"/>
    <n v="79.988477764491606"/>
    <n v="6.9434193969813975"/>
    <n v="0.55787230139791222"/>
    <n v="7.5012916983793101"/>
    <n v="0"/>
    <n v="0"/>
    <n v="0"/>
    <n v="7.5012916983793101"/>
  </r>
  <r>
    <x v="1"/>
    <d v="2024-03-05T00:00:00"/>
    <d v="2024-03-25T00:00:00"/>
    <x v="9"/>
    <n v="9"/>
    <n v="5"/>
    <n v="9.9985597205614507"/>
    <n v="10.866487145184125"/>
    <n v="54.332435725920625"/>
    <n v="49.992798602807255"/>
    <n v="4.3396371231133699"/>
    <n v="0.34867018837369518"/>
    <n v="4.6883073114870655"/>
    <n v="0"/>
    <n v="0"/>
    <n v="0"/>
    <n v="4.6883073114870655"/>
  </r>
  <r>
    <x v="2"/>
    <d v="2024-04-03T00:00:00"/>
    <d v="2024-04-24T00:00:00"/>
    <x v="9"/>
    <n v="9"/>
    <n v="5"/>
    <n v="9.9985597205614507"/>
    <n v="10.866487145184125"/>
    <n v="54.332435725920625"/>
    <n v="49.992798602807255"/>
    <n v="4.3396371231133699"/>
    <n v="0.34867018837369518"/>
    <n v="4.6883073114870655"/>
    <n v="0"/>
    <n v="0"/>
    <n v="0"/>
    <n v="4.6883073114870655"/>
  </r>
  <r>
    <x v="3"/>
    <d v="2024-05-03T00:00:00"/>
    <d v="2024-05-24T00:00:00"/>
    <x v="9"/>
    <n v="9"/>
    <n v="6"/>
    <n v="9.9985597205614507"/>
    <n v="10.866487145184125"/>
    <n v="65.198922871104756"/>
    <n v="59.991358323368701"/>
    <n v="5.2075645477360553"/>
    <n v="0.41840422604843419"/>
    <n v="5.6259687737844892"/>
    <n v="0"/>
    <n v="0"/>
    <n v="0"/>
    <n v="5.6259687737844892"/>
  </r>
  <r>
    <x v="4"/>
    <d v="2024-06-05T00:00:00"/>
    <d v="2024-06-24T00:00:00"/>
    <x v="9"/>
    <n v="9"/>
    <n v="9"/>
    <n v="9.9985597205614507"/>
    <n v="10.866487145184125"/>
    <n v="97.798384306657127"/>
    <n v="89.987037485053051"/>
    <n v="7.8113468216040758"/>
    <n v="0.62760633907265129"/>
    <n v="8.4389531606767267"/>
    <n v="0"/>
    <n v="0"/>
    <n v="0"/>
    <n v="8.4389531606767267"/>
  </r>
  <r>
    <x v="5"/>
    <d v="2024-07-03T00:00:00"/>
    <d v="2024-07-24T00:00:00"/>
    <x v="9"/>
    <n v="9"/>
    <n v="14"/>
    <n v="9.9985597205614507"/>
    <n v="10.866487145184125"/>
    <n v="152.13082003257776"/>
    <n v="139.97983608786032"/>
    <n v="12.150983944717439"/>
    <n v="0.97627652744634641"/>
    <n v="13.127260472163785"/>
    <n v="0"/>
    <n v="0"/>
    <n v="0"/>
    <n v="13.127260472163785"/>
  </r>
  <r>
    <x v="6"/>
    <d v="2024-08-05T00:00:00"/>
    <d v="2024-08-26T00:00:00"/>
    <x v="9"/>
    <n v="9"/>
    <n v="17"/>
    <n v="9.9985597205614507"/>
    <n v="10.866487145184125"/>
    <n v="184.73028146813013"/>
    <n v="169.97551524954466"/>
    <n v="14.754766218585473"/>
    <n v="1.1854786404705635"/>
    <n v="15.940244859056037"/>
    <n v="0"/>
    <n v="0"/>
    <n v="0"/>
    <n v="15.940244859056037"/>
  </r>
  <r>
    <x v="7"/>
    <d v="2024-09-04T00:00:00"/>
    <d v="2024-09-24T00:00:00"/>
    <x v="9"/>
    <n v="9"/>
    <n v="19"/>
    <n v="9.9985597205614507"/>
    <n v="10.866487145184125"/>
    <n v="206.46325575849838"/>
    <n v="189.97263469066758"/>
    <n v="16.490621067830801"/>
    <n v="1.3249467158200416"/>
    <n v="17.815567783650842"/>
    <n v="0"/>
    <n v="0"/>
    <n v="0"/>
    <n v="17.815567783650842"/>
  </r>
  <r>
    <x v="8"/>
    <d v="2024-10-03T00:00:00"/>
    <d v="2024-10-24T00:00:00"/>
    <x v="9"/>
    <n v="9"/>
    <n v="11"/>
    <n v="9.9985597205614507"/>
    <n v="10.866487145184125"/>
    <n v="119.53135859702537"/>
    <n v="109.98415692617596"/>
    <n v="9.5472016708494181"/>
    <n v="0.76707441442212931"/>
    <n v="10.314276085271548"/>
    <n v="0"/>
    <n v="0"/>
    <n v="0"/>
    <n v="10.314276085271548"/>
  </r>
  <r>
    <x v="9"/>
    <d v="2024-11-05T00:00:00"/>
    <d v="2024-11-25T00:00:00"/>
    <x v="9"/>
    <n v="9"/>
    <n v="6"/>
    <n v="9.9985597205614507"/>
    <n v="10.866487145184125"/>
    <n v="65.198922871104756"/>
    <n v="59.991358323368701"/>
    <n v="5.2075645477360553"/>
    <n v="0.41840422604843419"/>
    <n v="5.6259687737844892"/>
    <n v="0"/>
    <n v="0"/>
    <n v="0"/>
    <n v="5.6259687737844892"/>
  </r>
  <r>
    <x v="10"/>
    <d v="2024-12-04T00:00:00"/>
    <d v="2024-12-24T00:00:00"/>
    <x v="9"/>
    <n v="9"/>
    <n v="6"/>
    <n v="9.9985597205614507"/>
    <n v="10.866487145184125"/>
    <n v="65.198922871104756"/>
    <n v="59.991358323368701"/>
    <n v="5.2075645477360553"/>
    <n v="0.41840422604843419"/>
    <n v="5.6259687737844892"/>
    <n v="0"/>
    <n v="0"/>
    <n v="0"/>
    <n v="5.6259687737844892"/>
  </r>
  <r>
    <x v="11"/>
    <d v="2025-01-03T00:00:00"/>
    <d v="2025-01-24T00:00:00"/>
    <x v="9"/>
    <n v="9"/>
    <n v="6"/>
    <n v="9.9985597205614507"/>
    <n v="10.866487145184125"/>
    <n v="65.198922871104756"/>
    <n v="59.991358323368701"/>
    <n v="5.2075645477360553"/>
    <n v="0.41840422604843419"/>
    <n v="5.6259687737844892"/>
    <n v="0"/>
    <n v="0"/>
    <n v="0"/>
    <n v="5.6259687737844892"/>
  </r>
  <r>
    <x v="0"/>
    <d v="2024-02-05T00:00:00"/>
    <d v="2024-02-26T00:00:00"/>
    <x v="10"/>
    <n v="9"/>
    <n v="4"/>
    <n v="9.9985597205614507"/>
    <n v="10.866487145184125"/>
    <n v="43.465948580736502"/>
    <n v="39.994238882245803"/>
    <n v="3.4717096984906988"/>
    <n v="0.27893615069895611"/>
    <n v="3.750645849189655"/>
    <n v="0"/>
    <n v="0"/>
    <n v="0"/>
    <n v="3.750645849189655"/>
  </r>
  <r>
    <x v="1"/>
    <d v="2024-03-05T00:00:00"/>
    <d v="2024-03-25T00:00:00"/>
    <x v="10"/>
    <n v="9"/>
    <n v="3"/>
    <n v="9.9985597205614507"/>
    <n v="10.866487145184125"/>
    <n v="32.599461435552378"/>
    <n v="29.99567916168435"/>
    <n v="2.6037822738680276"/>
    <n v="0.2092021130242171"/>
    <n v="2.8129843868922446"/>
    <n v="0"/>
    <n v="0"/>
    <n v="0"/>
    <n v="2.8129843868922446"/>
  </r>
  <r>
    <x v="2"/>
    <d v="2024-04-03T00:00:00"/>
    <d v="2024-04-24T00:00:00"/>
    <x v="10"/>
    <n v="9"/>
    <n v="3"/>
    <n v="9.9985597205614507"/>
    <n v="10.866487145184125"/>
    <n v="32.599461435552378"/>
    <n v="29.99567916168435"/>
    <n v="2.6037822738680276"/>
    <n v="0.2092021130242171"/>
    <n v="2.8129843868922446"/>
    <n v="0"/>
    <n v="0"/>
    <n v="0"/>
    <n v="2.8129843868922446"/>
  </r>
  <r>
    <x v="3"/>
    <d v="2024-05-03T00:00:00"/>
    <d v="2024-05-24T00:00:00"/>
    <x v="10"/>
    <n v="9"/>
    <n v="2"/>
    <n v="9.9985597205614507"/>
    <n v="10.866487145184125"/>
    <n v="21.732974290368251"/>
    <n v="19.997119441122901"/>
    <n v="1.7358548492453494"/>
    <n v="0.13946807534947805"/>
    <n v="1.8753229245948275"/>
    <n v="0"/>
    <n v="0"/>
    <n v="0"/>
    <n v="1.8753229245948275"/>
  </r>
  <r>
    <x v="4"/>
    <d v="2024-06-05T00:00:00"/>
    <d v="2024-06-24T00:00:00"/>
    <x v="10"/>
    <n v="9"/>
    <n v="4"/>
    <n v="9.9985597205614507"/>
    <n v="10.866487145184125"/>
    <n v="43.465948580736502"/>
    <n v="39.994238882245803"/>
    <n v="3.4717096984906988"/>
    <n v="0.27893615069895611"/>
    <n v="3.750645849189655"/>
    <n v="0"/>
    <n v="0"/>
    <n v="0"/>
    <n v="3.750645849189655"/>
  </r>
  <r>
    <x v="5"/>
    <d v="2024-07-03T00:00:00"/>
    <d v="2024-07-24T00:00:00"/>
    <x v="10"/>
    <n v="9"/>
    <n v="4"/>
    <n v="9.9985597205614507"/>
    <n v="10.866487145184125"/>
    <n v="43.465948580736502"/>
    <n v="39.994238882245803"/>
    <n v="3.4717096984906988"/>
    <n v="0.27893615069895611"/>
    <n v="3.750645849189655"/>
    <n v="0"/>
    <n v="0"/>
    <n v="0"/>
    <n v="3.750645849189655"/>
  </r>
  <r>
    <x v="6"/>
    <d v="2024-08-05T00:00:00"/>
    <d v="2024-08-26T00:00:00"/>
    <x v="10"/>
    <n v="9"/>
    <n v="6"/>
    <n v="9.9985597205614507"/>
    <n v="10.866487145184125"/>
    <n v="65.198922871104756"/>
    <n v="59.991358323368701"/>
    <n v="5.2075645477360553"/>
    <n v="0.41840422604843419"/>
    <n v="5.6259687737844892"/>
    <n v="0"/>
    <n v="0"/>
    <n v="0"/>
    <n v="5.6259687737844892"/>
  </r>
  <r>
    <x v="7"/>
    <d v="2024-09-04T00:00:00"/>
    <d v="2024-09-24T00:00:00"/>
    <x v="10"/>
    <n v="9"/>
    <n v="6"/>
    <n v="9.9985597205614507"/>
    <n v="10.866487145184125"/>
    <n v="65.198922871104756"/>
    <n v="59.991358323368701"/>
    <n v="5.2075645477360553"/>
    <n v="0.41840422604843419"/>
    <n v="5.6259687737844892"/>
    <n v="0"/>
    <n v="0"/>
    <n v="0"/>
    <n v="5.6259687737844892"/>
  </r>
  <r>
    <x v="8"/>
    <d v="2024-10-03T00:00:00"/>
    <d v="2024-10-24T00:00:00"/>
    <x v="10"/>
    <n v="9"/>
    <n v="3"/>
    <n v="9.9985597205614507"/>
    <n v="10.866487145184125"/>
    <n v="32.599461435552378"/>
    <n v="29.99567916168435"/>
    <n v="2.6037822738680276"/>
    <n v="0.2092021130242171"/>
    <n v="2.8129843868922446"/>
    <n v="0"/>
    <n v="0"/>
    <n v="0"/>
    <n v="2.8129843868922446"/>
  </r>
  <r>
    <x v="9"/>
    <d v="2024-11-05T00:00:00"/>
    <d v="2024-11-25T00:00:00"/>
    <x v="10"/>
    <n v="9"/>
    <n v="6"/>
    <n v="9.9985597205614507"/>
    <n v="10.866487145184125"/>
    <n v="65.198922871104756"/>
    <n v="59.991358323368701"/>
    <n v="5.2075645477360553"/>
    <n v="0.41840422604843419"/>
    <n v="5.6259687737844892"/>
    <n v="0"/>
    <n v="0"/>
    <n v="0"/>
    <n v="5.6259687737844892"/>
  </r>
  <r>
    <x v="10"/>
    <d v="2024-12-04T00:00:00"/>
    <d v="2024-12-24T00:00:00"/>
    <x v="10"/>
    <n v="9"/>
    <n v="1"/>
    <n v="9.9985597205614507"/>
    <n v="10.866487145184125"/>
    <n v="10.866487145184125"/>
    <n v="9.9985597205614507"/>
    <n v="0.86792742462267469"/>
    <n v="6.9734037674739027E-2"/>
    <n v="0.93766146229741376"/>
    <n v="0"/>
    <n v="0"/>
    <n v="0"/>
    <n v="0.93766146229741376"/>
  </r>
  <r>
    <x v="11"/>
    <d v="2025-01-03T00:00:00"/>
    <d v="2025-01-24T00:00:00"/>
    <x v="10"/>
    <n v="9"/>
    <n v="3"/>
    <n v="9.9985597205614507"/>
    <n v="10.866487145184125"/>
    <n v="32.599461435552378"/>
    <n v="29.99567916168435"/>
    <n v="2.6037822738680276"/>
    <n v="0.2092021130242171"/>
    <n v="2.8129843868922446"/>
    <n v="0"/>
    <n v="0"/>
    <n v="0"/>
    <n v="2.8129843868922446"/>
  </r>
  <r>
    <x v="0"/>
    <d v="2024-02-05T00:00:00"/>
    <d v="2024-02-26T00:00:00"/>
    <x v="11"/>
    <n v="9"/>
    <n v="145"/>
    <n v="9.9985597205614507"/>
    <n v="10.866487145184125"/>
    <n v="1575.6406360516983"/>
    <n v="1449.7911594814104"/>
    <n v="125.84947657028783"/>
    <n v="10.111435462837159"/>
    <n v="135.960912033125"/>
    <n v="0"/>
    <n v="0"/>
    <n v="0"/>
    <n v="135.960912033125"/>
  </r>
  <r>
    <x v="1"/>
    <d v="2024-03-05T00:00:00"/>
    <d v="2024-03-25T00:00:00"/>
    <x v="11"/>
    <n v="9"/>
    <n v="100"/>
    <n v="9.9985597205614507"/>
    <n v="10.866487145184125"/>
    <n v="1086.6487145184126"/>
    <n v="999.85597205614511"/>
    <n v="86.792742462267483"/>
    <n v="6.9734037674739033"/>
    <n v="93.766146229741381"/>
    <n v="0"/>
    <n v="0"/>
    <n v="0"/>
    <n v="93.766146229741381"/>
  </r>
  <r>
    <x v="2"/>
    <d v="2024-04-03T00:00:00"/>
    <d v="2024-04-24T00:00:00"/>
    <x v="11"/>
    <n v="9"/>
    <n v="92"/>
    <n v="9.9985597205614507"/>
    <n v="10.866487145184125"/>
    <n v="999.71681735693949"/>
    <n v="919.86749429165343"/>
    <n v="79.849323065286057"/>
    <n v="6.4155314660759908"/>
    <n v="86.264854531362047"/>
    <n v="0"/>
    <n v="0"/>
    <n v="0"/>
    <n v="86.264854531362047"/>
  </r>
  <r>
    <x v="3"/>
    <d v="2024-05-03T00:00:00"/>
    <d v="2024-05-24T00:00:00"/>
    <x v="11"/>
    <n v="9"/>
    <n v="101"/>
    <n v="9.9985597205614507"/>
    <n v="10.866487145184125"/>
    <n v="1097.5152016635966"/>
    <n v="1009.8545317767065"/>
    <n v="87.660669886890105"/>
    <n v="7.0431378051486426"/>
    <n v="94.703807692038751"/>
    <n v="0"/>
    <n v="0"/>
    <n v="0"/>
    <n v="94.703807692038751"/>
  </r>
  <r>
    <x v="4"/>
    <d v="2024-06-05T00:00:00"/>
    <d v="2024-06-24T00:00:00"/>
    <x v="11"/>
    <n v="9"/>
    <n v="118"/>
    <n v="9.9985597205614507"/>
    <n v="10.866487145184125"/>
    <n v="1282.2454831317268"/>
    <n v="1179.8300470262511"/>
    <n v="102.41543610547569"/>
    <n v="8.2286164456192061"/>
    <n v="110.6440525510949"/>
    <n v="0"/>
    <n v="0"/>
    <n v="0"/>
    <n v="110.6440525510949"/>
  </r>
  <r>
    <x v="5"/>
    <d v="2024-07-03T00:00:00"/>
    <d v="2024-07-24T00:00:00"/>
    <x v="11"/>
    <n v="9"/>
    <n v="173"/>
    <n v="9.9985597205614507"/>
    <n v="10.866487145184125"/>
    <n v="1879.9022761168537"/>
    <n v="1729.7508316571309"/>
    <n v="150.15144445972282"/>
    <n v="12.063988517729852"/>
    <n v="162.21543297745268"/>
    <n v="0"/>
    <n v="0"/>
    <n v="0"/>
    <n v="162.21543297745268"/>
  </r>
  <r>
    <x v="6"/>
    <d v="2024-08-05T00:00:00"/>
    <d v="2024-08-26T00:00:00"/>
    <x v="11"/>
    <n v="9"/>
    <n v="164"/>
    <n v="9.9985597205614507"/>
    <n v="10.866487145184125"/>
    <n v="1782.1038918101965"/>
    <n v="1639.763794172078"/>
    <n v="142.34009763811855"/>
    <n v="11.436382178657201"/>
    <n v="153.77647981677575"/>
    <n v="0"/>
    <n v="0"/>
    <n v="0"/>
    <n v="153.77647981677575"/>
  </r>
  <r>
    <x v="7"/>
    <d v="2024-09-04T00:00:00"/>
    <d v="2024-09-24T00:00:00"/>
    <x v="11"/>
    <n v="9"/>
    <n v="170"/>
    <n v="9.9985597205614507"/>
    <n v="10.866487145184125"/>
    <n v="1847.3028146813012"/>
    <n v="1699.7551524954465"/>
    <n v="147.54766218585473"/>
    <n v="11.854786404705635"/>
    <n v="159.40244859056037"/>
    <n v="0"/>
    <n v="0"/>
    <n v="0"/>
    <n v="159.40244859056037"/>
  </r>
  <r>
    <x v="8"/>
    <d v="2024-10-03T00:00:00"/>
    <d v="2024-10-24T00:00:00"/>
    <x v="11"/>
    <n v="9"/>
    <n v="156"/>
    <n v="9.9985597205614507"/>
    <n v="10.866487145184125"/>
    <n v="1695.1719946487235"/>
    <n v="1559.7753164075864"/>
    <n v="135.39667824113712"/>
    <n v="10.878509877259289"/>
    <n v="146.27518811839641"/>
    <n v="0"/>
    <n v="0"/>
    <n v="0"/>
    <n v="146.27518811839641"/>
  </r>
  <r>
    <x v="9"/>
    <d v="2024-11-05T00:00:00"/>
    <d v="2024-11-25T00:00:00"/>
    <x v="11"/>
    <n v="9"/>
    <n v="139"/>
    <n v="9.9985597205614507"/>
    <n v="10.866487145184125"/>
    <n v="1510.4417131805935"/>
    <n v="1389.7998011580416"/>
    <n v="120.64191202255188"/>
    <n v="9.693031236788725"/>
    <n v="130.3349432593406"/>
    <n v="0"/>
    <n v="0"/>
    <n v="0"/>
    <n v="130.3349432593406"/>
  </r>
  <r>
    <x v="10"/>
    <d v="2024-12-04T00:00:00"/>
    <d v="2024-12-24T00:00:00"/>
    <x v="11"/>
    <n v="9"/>
    <n v="90"/>
    <n v="9.9985597205614507"/>
    <n v="10.866487145184125"/>
    <n v="977.98384306657124"/>
    <n v="899.87037485053054"/>
    <n v="78.113468216040701"/>
    <n v="6.2760633907265131"/>
    <n v="84.389531606767207"/>
    <n v="0"/>
    <n v="0"/>
    <n v="0"/>
    <n v="84.389531606767207"/>
  </r>
  <r>
    <x v="11"/>
    <d v="2025-01-03T00:00:00"/>
    <d v="2025-01-24T00:00:00"/>
    <x v="11"/>
    <n v="9"/>
    <n v="110"/>
    <n v="9.9985597205614507"/>
    <n v="10.866487145184125"/>
    <n v="1195.3135859702538"/>
    <n v="1099.8415692617596"/>
    <n v="95.472016708494266"/>
    <n v="7.6707441442212927"/>
    <n v="103.14276085271555"/>
    <n v="0"/>
    <n v="0"/>
    <n v="0"/>
    <n v="103.14276085271555"/>
  </r>
  <r>
    <x v="0"/>
    <d v="2024-02-05T00:00:00"/>
    <d v="2024-02-26T00:00:00"/>
    <x v="12"/>
    <n v="9"/>
    <n v="9"/>
    <n v="9.9985597205614507"/>
    <n v="10.866487145184125"/>
    <n v="97.798384306657127"/>
    <n v="89.987037485053051"/>
    <n v="7.8113468216040758"/>
    <n v="0.62760633907265129"/>
    <n v="8.4389531606767267"/>
    <n v="0"/>
    <n v="0"/>
    <n v="0"/>
    <n v="8.4389531606767267"/>
  </r>
  <r>
    <x v="1"/>
    <d v="2024-03-05T00:00:00"/>
    <d v="2024-03-25T00:00:00"/>
    <x v="12"/>
    <n v="9"/>
    <n v="8"/>
    <n v="9.9985597205614507"/>
    <n v="10.866487145184125"/>
    <n v="86.931897161473003"/>
    <n v="79.988477764491606"/>
    <n v="6.9434193969813975"/>
    <n v="0.55787230139791222"/>
    <n v="7.5012916983793101"/>
    <n v="0"/>
    <n v="0"/>
    <n v="0"/>
    <n v="7.5012916983793101"/>
  </r>
  <r>
    <x v="2"/>
    <d v="2024-04-03T00:00:00"/>
    <d v="2024-04-24T00:00:00"/>
    <x v="12"/>
    <n v="9"/>
    <n v="10"/>
    <n v="9.9985597205614507"/>
    <n v="10.866487145184125"/>
    <n v="108.66487145184125"/>
    <n v="99.985597205614511"/>
    <n v="8.6792742462267398"/>
    <n v="0.69734037674739036"/>
    <n v="9.376614622974131"/>
    <n v="0"/>
    <n v="0"/>
    <n v="0"/>
    <n v="9.376614622974131"/>
  </r>
  <r>
    <x v="3"/>
    <d v="2024-05-03T00:00:00"/>
    <d v="2024-05-24T00:00:00"/>
    <x v="12"/>
    <n v="9"/>
    <n v="7"/>
    <n v="9.9985597205614507"/>
    <n v="10.866487145184125"/>
    <n v="76.06541001628888"/>
    <n v="69.98991804393016"/>
    <n v="6.0754919723587193"/>
    <n v="0.4881382637231732"/>
    <n v="6.5636302360818926"/>
    <n v="0"/>
    <n v="0"/>
    <n v="0"/>
    <n v="6.5636302360818926"/>
  </r>
  <r>
    <x v="4"/>
    <d v="2024-06-05T00:00:00"/>
    <d v="2024-06-24T00:00:00"/>
    <x v="12"/>
    <n v="9"/>
    <n v="10"/>
    <n v="9.9985597205614507"/>
    <n v="10.866487145184125"/>
    <n v="108.66487145184125"/>
    <n v="99.985597205614511"/>
    <n v="8.6792742462267398"/>
    <n v="0.69734037674739036"/>
    <n v="9.376614622974131"/>
    <n v="0"/>
    <n v="0"/>
    <n v="0"/>
    <n v="9.376614622974131"/>
  </r>
  <r>
    <x v="5"/>
    <d v="2024-07-03T00:00:00"/>
    <d v="2024-07-24T00:00:00"/>
    <x v="12"/>
    <n v="9"/>
    <n v="10"/>
    <n v="9.9985597205614507"/>
    <n v="10.866487145184125"/>
    <n v="108.66487145184125"/>
    <n v="99.985597205614511"/>
    <n v="8.6792742462267398"/>
    <n v="0.69734037674739036"/>
    <n v="9.376614622974131"/>
    <n v="0"/>
    <n v="0"/>
    <n v="0"/>
    <n v="9.376614622974131"/>
  </r>
  <r>
    <x v="6"/>
    <d v="2024-08-05T00:00:00"/>
    <d v="2024-08-26T00:00:00"/>
    <x v="12"/>
    <n v="9"/>
    <n v="12"/>
    <n v="9.9985597205614507"/>
    <n v="10.866487145184125"/>
    <n v="130.39784574220951"/>
    <n v="119.9827166467374"/>
    <n v="10.415129095472111"/>
    <n v="0.83680845209686838"/>
    <n v="11.251937547568978"/>
    <n v="0"/>
    <n v="0"/>
    <n v="0"/>
    <n v="11.251937547568978"/>
  </r>
  <r>
    <x v="7"/>
    <d v="2024-09-04T00:00:00"/>
    <d v="2024-09-24T00:00:00"/>
    <x v="12"/>
    <n v="9"/>
    <n v="12"/>
    <n v="9.9985597205614507"/>
    <n v="10.866487145184125"/>
    <n v="130.39784574220951"/>
    <n v="119.9827166467374"/>
    <n v="10.415129095472111"/>
    <n v="0.83680845209686838"/>
    <n v="11.251937547568978"/>
    <n v="0"/>
    <n v="0"/>
    <n v="0"/>
    <n v="11.251937547568978"/>
  </r>
  <r>
    <x v="8"/>
    <d v="2024-10-03T00:00:00"/>
    <d v="2024-10-24T00:00:00"/>
    <x v="12"/>
    <n v="9"/>
    <n v="11"/>
    <n v="9.9985597205614507"/>
    <n v="10.866487145184125"/>
    <n v="119.53135859702537"/>
    <n v="109.98415692617596"/>
    <n v="9.5472016708494181"/>
    <n v="0.76707441442212931"/>
    <n v="10.314276085271548"/>
    <n v="0"/>
    <n v="0"/>
    <n v="0"/>
    <n v="10.314276085271548"/>
  </r>
  <r>
    <x v="9"/>
    <d v="2024-11-05T00:00:00"/>
    <d v="2024-11-25T00:00:00"/>
    <x v="12"/>
    <n v="9"/>
    <n v="10"/>
    <n v="9.9985597205614507"/>
    <n v="10.866487145184125"/>
    <n v="108.66487145184125"/>
    <n v="99.985597205614511"/>
    <n v="8.6792742462267398"/>
    <n v="0.69734037674739036"/>
    <n v="9.376614622974131"/>
    <n v="0"/>
    <n v="0"/>
    <n v="0"/>
    <n v="9.376614622974131"/>
  </r>
  <r>
    <x v="10"/>
    <d v="2024-12-04T00:00:00"/>
    <d v="2024-12-24T00:00:00"/>
    <x v="12"/>
    <n v="9"/>
    <n v="10"/>
    <n v="9.9985597205614507"/>
    <n v="10.866487145184125"/>
    <n v="108.66487145184125"/>
    <n v="99.985597205614511"/>
    <n v="8.6792742462267398"/>
    <n v="0.69734037674739036"/>
    <n v="9.376614622974131"/>
    <n v="0"/>
    <n v="0"/>
    <n v="0"/>
    <n v="9.376614622974131"/>
  </r>
  <r>
    <x v="11"/>
    <d v="2025-01-03T00:00:00"/>
    <d v="2025-01-24T00:00:00"/>
    <x v="12"/>
    <n v="9"/>
    <n v="10"/>
    <n v="9.9985597205614507"/>
    <n v="10.866487145184125"/>
    <n v="108.66487145184125"/>
    <n v="99.985597205614511"/>
    <n v="8.6792742462267398"/>
    <n v="0.69734037674739036"/>
    <n v="9.376614622974131"/>
    <n v="0"/>
    <n v="0"/>
    <n v="0"/>
    <n v="9.376614622974131"/>
  </r>
  <r>
    <x v="0"/>
    <d v="2024-02-05T00:00:00"/>
    <d v="2024-02-26T00:00:00"/>
    <x v="13"/>
    <n v="9"/>
    <n v="26"/>
    <n v="9.9985597205614507"/>
    <n v="10.866487145184125"/>
    <n v="282.52866577478727"/>
    <n v="259.96255273459769"/>
    <n v="22.566113040189578"/>
    <n v="1.8130849795432147"/>
    <n v="24.379198019732794"/>
    <n v="0"/>
    <n v="0"/>
    <n v="0"/>
    <n v="24.379198019732794"/>
  </r>
  <r>
    <x v="1"/>
    <d v="2024-03-05T00:00:00"/>
    <d v="2024-03-25T00:00:00"/>
    <x v="13"/>
    <n v="9"/>
    <n v="19"/>
    <n v="9.9985597205614507"/>
    <n v="10.866487145184125"/>
    <n v="206.46325575849838"/>
    <n v="189.97263469066758"/>
    <n v="16.490621067830801"/>
    <n v="1.3249467158200416"/>
    <n v="17.815567783650842"/>
    <n v="0"/>
    <n v="0"/>
    <n v="0"/>
    <n v="17.815567783650842"/>
  </r>
  <r>
    <x v="2"/>
    <d v="2024-04-03T00:00:00"/>
    <d v="2024-04-24T00:00:00"/>
    <x v="13"/>
    <n v="9"/>
    <n v="18"/>
    <n v="9.9985597205614507"/>
    <n v="10.866487145184125"/>
    <n v="195.59676861331425"/>
    <n v="179.9740749701061"/>
    <n v="15.622693643208152"/>
    <n v="1.2552126781453026"/>
    <n v="16.877906321353453"/>
    <n v="0"/>
    <n v="0"/>
    <n v="0"/>
    <n v="16.877906321353453"/>
  </r>
  <r>
    <x v="3"/>
    <d v="2024-05-03T00:00:00"/>
    <d v="2024-05-24T00:00:00"/>
    <x v="13"/>
    <n v="9"/>
    <n v="22"/>
    <n v="9.9985597205614507"/>
    <n v="10.866487145184125"/>
    <n v="239.06271719405075"/>
    <n v="219.96831385235191"/>
    <n v="19.094403341698836"/>
    <n v="1.5341488288442586"/>
    <n v="20.628552170543095"/>
    <n v="0"/>
    <n v="0"/>
    <n v="0"/>
    <n v="20.628552170543095"/>
  </r>
  <r>
    <x v="4"/>
    <d v="2024-06-05T00:00:00"/>
    <d v="2024-06-24T00:00:00"/>
    <x v="13"/>
    <n v="9"/>
    <n v="31"/>
    <n v="9.9985597205614507"/>
    <n v="10.866487145184125"/>
    <n v="336.86110150070789"/>
    <n v="309.95535133740498"/>
    <n v="26.905750163302912"/>
    <n v="2.16175516791691"/>
    <n v="29.06750533121982"/>
    <n v="0"/>
    <n v="0"/>
    <n v="0"/>
    <n v="29.06750533121982"/>
  </r>
  <r>
    <x v="5"/>
    <d v="2024-07-03T00:00:00"/>
    <d v="2024-07-24T00:00:00"/>
    <x v="13"/>
    <n v="9"/>
    <n v="36"/>
    <n v="9.9985597205614507"/>
    <n v="10.866487145184125"/>
    <n v="391.19353722662851"/>
    <n v="359.9481499402122"/>
    <n v="31.245387286416303"/>
    <n v="2.5104253562906051"/>
    <n v="33.755812642706907"/>
    <n v="0"/>
    <n v="0"/>
    <n v="0"/>
    <n v="33.755812642706907"/>
  </r>
  <r>
    <x v="6"/>
    <d v="2024-08-05T00:00:00"/>
    <d v="2024-08-26T00:00:00"/>
    <x v="13"/>
    <n v="9"/>
    <n v="38"/>
    <n v="9.9985597205614507"/>
    <n v="10.866487145184125"/>
    <n v="412.92651151699675"/>
    <n v="379.94526938133515"/>
    <n v="32.981242135661603"/>
    <n v="2.6498934316400833"/>
    <n v="35.631135567301683"/>
    <n v="0"/>
    <n v="0"/>
    <n v="0"/>
    <n v="35.631135567301683"/>
  </r>
  <r>
    <x v="7"/>
    <d v="2024-09-04T00:00:00"/>
    <d v="2024-09-24T00:00:00"/>
    <x v="13"/>
    <n v="9"/>
    <n v="41"/>
    <n v="9.9985597205614507"/>
    <n v="10.866487145184125"/>
    <n v="445.52597295254913"/>
    <n v="409.94094854301949"/>
    <n v="35.585024409529638"/>
    <n v="2.8590955446643003"/>
    <n v="38.444119954193937"/>
    <n v="0"/>
    <n v="0"/>
    <n v="0"/>
    <n v="38.444119954193937"/>
  </r>
  <r>
    <x v="8"/>
    <d v="2024-10-03T00:00:00"/>
    <d v="2024-10-24T00:00:00"/>
    <x v="13"/>
    <n v="9"/>
    <n v="29"/>
    <n v="9.9985597205614507"/>
    <n v="10.866487145184125"/>
    <n v="315.12812721033964"/>
    <n v="289.95823189628209"/>
    <n v="25.169895314057555"/>
    <n v="2.0222870925674319"/>
    <n v="27.192182406624987"/>
    <n v="0"/>
    <n v="0"/>
    <n v="0"/>
    <n v="27.192182406624987"/>
  </r>
  <r>
    <x v="9"/>
    <d v="2024-11-05T00:00:00"/>
    <d v="2024-11-25T00:00:00"/>
    <x v="13"/>
    <n v="9"/>
    <n v="26"/>
    <n v="9.9985597205614507"/>
    <n v="10.866487145184125"/>
    <n v="282.52866577478727"/>
    <n v="259.96255273459769"/>
    <n v="22.566113040189578"/>
    <n v="1.8130849795432147"/>
    <n v="24.379198019732794"/>
    <n v="0"/>
    <n v="0"/>
    <n v="0"/>
    <n v="24.379198019732794"/>
  </r>
  <r>
    <x v="10"/>
    <d v="2024-12-04T00:00:00"/>
    <d v="2024-12-24T00:00:00"/>
    <x v="13"/>
    <n v="9"/>
    <n v="22"/>
    <n v="9.9985597205614507"/>
    <n v="10.866487145184125"/>
    <n v="239.06271719405075"/>
    <n v="219.96831385235191"/>
    <n v="19.094403341698836"/>
    <n v="1.5341488288442586"/>
    <n v="20.628552170543095"/>
    <n v="0"/>
    <n v="0"/>
    <n v="0"/>
    <n v="20.628552170543095"/>
  </r>
  <r>
    <x v="11"/>
    <d v="2025-01-03T00:00:00"/>
    <d v="2025-01-24T00:00:00"/>
    <x v="13"/>
    <n v="9"/>
    <n v="18"/>
    <n v="9.9985597205614507"/>
    <n v="10.866487145184125"/>
    <n v="195.59676861331425"/>
    <n v="179.9740749701061"/>
    <n v="15.622693643208152"/>
    <n v="1.2552126781453026"/>
    <n v="16.877906321353453"/>
    <n v="0"/>
    <n v="0"/>
    <n v="0"/>
    <n v="16.877906321353453"/>
  </r>
  <r>
    <x v="0"/>
    <d v="2024-02-05T00:00:00"/>
    <d v="2024-02-26T00:00:00"/>
    <x v="14"/>
    <n v="9"/>
    <n v="34"/>
    <n v="9.9985597205614507"/>
    <n v="10.866487145184125"/>
    <n v="369.46056293626026"/>
    <n v="339.95103049908931"/>
    <n v="29.509532437170947"/>
    <n v="2.370957280941127"/>
    <n v="31.880489718112074"/>
    <n v="0"/>
    <n v="0"/>
    <n v="0"/>
    <n v="31.880489718112074"/>
  </r>
  <r>
    <x v="1"/>
    <d v="2024-03-05T00:00:00"/>
    <d v="2024-03-25T00:00:00"/>
    <x v="14"/>
    <n v="9"/>
    <n v="32"/>
    <n v="9.9985597205614507"/>
    <n v="10.866487145184125"/>
    <n v="347.72758864589201"/>
    <n v="319.95391105796642"/>
    <n v="27.77367758792559"/>
    <n v="2.2314892055916489"/>
    <n v="30.00516679351724"/>
    <n v="0"/>
    <n v="0"/>
    <n v="0"/>
    <n v="30.00516679351724"/>
  </r>
  <r>
    <x v="2"/>
    <d v="2024-04-03T00:00:00"/>
    <d v="2024-04-24T00:00:00"/>
    <x v="14"/>
    <n v="9"/>
    <n v="32"/>
    <n v="9.9985597205614507"/>
    <n v="10.866487145184125"/>
    <n v="347.72758864589201"/>
    <n v="319.95391105796642"/>
    <n v="27.77367758792559"/>
    <n v="2.2314892055916489"/>
    <n v="30.00516679351724"/>
    <n v="0"/>
    <n v="0"/>
    <n v="0"/>
    <n v="30.00516679351724"/>
  </r>
  <r>
    <x v="3"/>
    <d v="2024-05-03T00:00:00"/>
    <d v="2024-05-24T00:00:00"/>
    <x v="14"/>
    <n v="9"/>
    <n v="33"/>
    <n v="9.9985597205614507"/>
    <n v="10.866487145184125"/>
    <n v="358.59407579107614"/>
    <n v="329.95247077852787"/>
    <n v="28.641605012548268"/>
    <n v="2.3012232432663877"/>
    <n v="30.942828255814657"/>
    <n v="0"/>
    <n v="0"/>
    <n v="0"/>
    <n v="30.942828255814657"/>
  </r>
  <r>
    <x v="4"/>
    <d v="2024-06-05T00:00:00"/>
    <d v="2024-06-24T00:00:00"/>
    <x v="14"/>
    <n v="9"/>
    <n v="40"/>
    <n v="9.9985597205614507"/>
    <n v="10.866487145184125"/>
    <n v="434.659485807365"/>
    <n v="399.94238882245804"/>
    <n v="34.717096984906959"/>
    <n v="2.7893615069895614"/>
    <n v="37.506458491896524"/>
    <n v="0"/>
    <n v="0"/>
    <n v="0"/>
    <n v="37.506458491896524"/>
  </r>
  <r>
    <x v="5"/>
    <d v="2024-07-03T00:00:00"/>
    <d v="2024-07-24T00:00:00"/>
    <x v="14"/>
    <n v="9"/>
    <n v="47"/>
    <n v="9.9985597205614507"/>
    <n v="10.866487145184125"/>
    <n v="510.72489582365387"/>
    <n v="469.93230686638816"/>
    <n v="40.792588957265707"/>
    <n v="3.2774997707127347"/>
    <n v="44.070088727978444"/>
    <n v="0"/>
    <n v="0"/>
    <n v="0"/>
    <n v="44.070088727978444"/>
  </r>
  <r>
    <x v="6"/>
    <d v="2024-08-05T00:00:00"/>
    <d v="2024-08-26T00:00:00"/>
    <x v="14"/>
    <n v="9"/>
    <n v="47"/>
    <n v="9.9985597205614507"/>
    <n v="10.866487145184125"/>
    <n v="510.72489582365387"/>
    <n v="469.93230686638816"/>
    <n v="40.792588957265707"/>
    <n v="3.2774997707127347"/>
    <n v="44.070088727978444"/>
    <n v="0"/>
    <n v="0"/>
    <n v="0"/>
    <n v="44.070088727978444"/>
  </r>
  <r>
    <x v="7"/>
    <d v="2024-09-04T00:00:00"/>
    <d v="2024-09-24T00:00:00"/>
    <x v="14"/>
    <n v="9"/>
    <n v="51"/>
    <n v="9.9985597205614507"/>
    <n v="10.866487145184125"/>
    <n v="554.19084440439042"/>
    <n v="509.926545748634"/>
    <n v="44.26429865575642"/>
    <n v="3.5564359214116905"/>
    <n v="47.82073457716811"/>
    <n v="0"/>
    <n v="0"/>
    <n v="0"/>
    <n v="47.82073457716811"/>
  </r>
  <r>
    <x v="8"/>
    <d v="2024-10-03T00:00:00"/>
    <d v="2024-10-24T00:00:00"/>
    <x v="14"/>
    <n v="9"/>
    <n v="43"/>
    <n v="9.9985597205614507"/>
    <n v="10.866487145184125"/>
    <n v="467.25894724291737"/>
    <n v="429.93806798414238"/>
    <n v="37.320879258774994"/>
    <n v="2.9985636200137784"/>
    <n v="40.31944287878877"/>
    <n v="0"/>
    <n v="0"/>
    <n v="0"/>
    <n v="40.31944287878877"/>
  </r>
  <r>
    <x v="9"/>
    <d v="2024-11-05T00:00:00"/>
    <d v="2024-11-25T00:00:00"/>
    <x v="14"/>
    <n v="9"/>
    <n v="37"/>
    <n v="9.9985597205614507"/>
    <n v="10.866487145184125"/>
    <n v="402.06002437181263"/>
    <n v="369.94670966077365"/>
    <n v="32.113314711038981"/>
    <n v="2.580159393965344"/>
    <n v="34.693474105004327"/>
    <n v="0"/>
    <n v="0"/>
    <n v="0"/>
    <n v="34.693474105004327"/>
  </r>
  <r>
    <x v="10"/>
    <d v="2024-12-04T00:00:00"/>
    <d v="2024-12-24T00:00:00"/>
    <x v="14"/>
    <n v="9"/>
    <n v="34"/>
    <n v="9.9985597205614507"/>
    <n v="10.866487145184125"/>
    <n v="369.46056293626026"/>
    <n v="339.95103049908931"/>
    <n v="29.509532437170947"/>
    <n v="2.370957280941127"/>
    <n v="31.880489718112074"/>
    <n v="0"/>
    <n v="0"/>
    <n v="0"/>
    <n v="31.880489718112074"/>
  </r>
  <r>
    <x v="11"/>
    <d v="2025-01-03T00:00:00"/>
    <d v="2025-01-24T00:00:00"/>
    <x v="14"/>
    <n v="9"/>
    <n v="32"/>
    <n v="9.9985597205614507"/>
    <n v="10.866487145184125"/>
    <n v="347.72758864589201"/>
    <n v="319.95391105796642"/>
    <n v="27.77367758792559"/>
    <n v="2.2314892055916489"/>
    <n v="30.00516679351724"/>
    <n v="0"/>
    <n v="0"/>
    <n v="0"/>
    <n v="30.00516679351724"/>
  </r>
  <r>
    <x v="0"/>
    <d v="2024-02-05T00:00:00"/>
    <d v="2024-02-26T00:00:00"/>
    <x v="15"/>
    <n v="9"/>
    <n v="104"/>
    <n v="9.9985597205614507"/>
    <n v="10.866487145184125"/>
    <n v="1130.1146630991491"/>
    <n v="1039.8502109383908"/>
    <n v="90.26445216075831"/>
    <n v="7.2523399181728587"/>
    <n v="97.516792078931175"/>
    <n v="0"/>
    <n v="0"/>
    <n v="0"/>
    <n v="97.516792078931175"/>
  </r>
  <r>
    <x v="1"/>
    <d v="2024-03-05T00:00:00"/>
    <d v="2024-03-25T00:00:00"/>
    <x v="15"/>
    <n v="9"/>
    <n v="99"/>
    <n v="9.9985597205614507"/>
    <n v="10.866487145184125"/>
    <n v="1075.7822273732284"/>
    <n v="989.8574123355836"/>
    <n v="85.924815037644748"/>
    <n v="6.903669729799164"/>
    <n v="92.828484767443911"/>
    <n v="0"/>
    <n v="0"/>
    <n v="0"/>
    <n v="92.828484767443911"/>
  </r>
  <r>
    <x v="2"/>
    <d v="2024-04-03T00:00:00"/>
    <d v="2024-04-24T00:00:00"/>
    <x v="15"/>
    <n v="9"/>
    <n v="99"/>
    <n v="9.9985597205614507"/>
    <n v="10.866487145184125"/>
    <n v="1075.7822273732284"/>
    <n v="989.8574123355836"/>
    <n v="85.924815037644748"/>
    <n v="6.903669729799164"/>
    <n v="92.828484767443911"/>
    <n v="0"/>
    <n v="0"/>
    <n v="0"/>
    <n v="92.828484767443911"/>
  </r>
  <r>
    <x v="3"/>
    <d v="2024-05-03T00:00:00"/>
    <d v="2024-05-24T00:00:00"/>
    <x v="15"/>
    <n v="9"/>
    <n v="99"/>
    <n v="9.9985597205614507"/>
    <n v="10.866487145184125"/>
    <n v="1075.7822273732284"/>
    <n v="989.8574123355836"/>
    <n v="85.924815037644748"/>
    <n v="6.903669729799164"/>
    <n v="92.828484767443911"/>
    <n v="0"/>
    <n v="0"/>
    <n v="0"/>
    <n v="92.828484767443911"/>
  </r>
  <r>
    <x v="4"/>
    <d v="2024-06-05T00:00:00"/>
    <d v="2024-06-24T00:00:00"/>
    <x v="15"/>
    <n v="9"/>
    <n v="106"/>
    <n v="9.9985597205614507"/>
    <n v="10.866487145184125"/>
    <n v="1151.8476373895173"/>
    <n v="1059.8473303795138"/>
    <n v="92.000307010003553"/>
    <n v="7.3918079935223373"/>
    <n v="99.392115003525888"/>
    <n v="0"/>
    <n v="0"/>
    <n v="0"/>
    <n v="99.392115003525888"/>
  </r>
  <r>
    <x v="5"/>
    <d v="2024-07-03T00:00:00"/>
    <d v="2024-07-24T00:00:00"/>
    <x v="15"/>
    <n v="9"/>
    <n v="120"/>
    <n v="9.9985597205614507"/>
    <n v="10.866487145184125"/>
    <n v="1303.9784574220951"/>
    <n v="1199.8271664673741"/>
    <n v="104.15129095472093"/>
    <n v="8.3680845209686847"/>
    <n v="112.51937547568961"/>
    <n v="0"/>
    <n v="0"/>
    <n v="0"/>
    <n v="112.51937547568961"/>
  </r>
  <r>
    <x v="6"/>
    <d v="2024-08-05T00:00:00"/>
    <d v="2024-08-26T00:00:00"/>
    <x v="15"/>
    <n v="9"/>
    <n v="117"/>
    <n v="9.9985597205614507"/>
    <n v="10.866487145184125"/>
    <n v="1271.3789959865426"/>
    <n v="1169.8314873056897"/>
    <n v="101.54750868085284"/>
    <n v="8.1588824079444677"/>
    <n v="109.70639108879732"/>
    <n v="0"/>
    <n v="0"/>
    <n v="0"/>
    <n v="109.70639108879732"/>
  </r>
  <r>
    <x v="7"/>
    <d v="2024-09-04T00:00:00"/>
    <d v="2024-09-24T00:00:00"/>
    <x v="15"/>
    <n v="9"/>
    <n v="118"/>
    <n v="9.9985597205614507"/>
    <n v="10.866487145184125"/>
    <n v="1282.2454831317268"/>
    <n v="1179.8300470262511"/>
    <n v="102.41543610547569"/>
    <n v="8.2286164456192061"/>
    <n v="110.6440525510949"/>
    <n v="0"/>
    <n v="0"/>
    <n v="0"/>
    <n v="110.6440525510949"/>
  </r>
  <r>
    <x v="8"/>
    <d v="2024-10-03T00:00:00"/>
    <d v="2024-10-24T00:00:00"/>
    <x v="15"/>
    <n v="9"/>
    <n v="117"/>
    <n v="9.9985597205614507"/>
    <n v="10.866487145184125"/>
    <n v="1271.3789959865426"/>
    <n v="1169.8314873056897"/>
    <n v="101.54750868085284"/>
    <n v="8.1588824079444677"/>
    <n v="109.70639108879732"/>
    <n v="0"/>
    <n v="0"/>
    <n v="0"/>
    <n v="109.70639108879732"/>
  </r>
  <r>
    <x v="9"/>
    <d v="2024-11-05T00:00:00"/>
    <d v="2024-11-25T00:00:00"/>
    <x v="15"/>
    <n v="9"/>
    <n v="107"/>
    <n v="9.9985597205614507"/>
    <n v="10.866487145184125"/>
    <n v="1162.7141245347013"/>
    <n v="1069.8458901000752"/>
    <n v="92.868234434626174"/>
    <n v="7.4615420311970757"/>
    <n v="100.32977646582324"/>
    <n v="0"/>
    <n v="0"/>
    <n v="0"/>
    <n v="100.32977646582324"/>
  </r>
  <r>
    <x v="10"/>
    <d v="2024-12-04T00:00:00"/>
    <d v="2024-12-24T00:00:00"/>
    <x v="15"/>
    <n v="9"/>
    <n v="91"/>
    <n v="9.9985597205614507"/>
    <n v="10.866487145184125"/>
    <n v="988.85033021175536"/>
    <n v="909.86893457109204"/>
    <n v="78.981395640663322"/>
    <n v="6.3457974284012524"/>
    <n v="85.327193069064577"/>
    <n v="0"/>
    <n v="0"/>
    <n v="0"/>
    <n v="85.327193069064577"/>
  </r>
  <r>
    <x v="11"/>
    <d v="2025-01-03T00:00:00"/>
    <d v="2025-01-24T00:00:00"/>
    <x v="15"/>
    <n v="9"/>
    <n v="102"/>
    <n v="9.9985597205614507"/>
    <n v="10.866487145184125"/>
    <n v="1108.3816888087808"/>
    <n v="1019.853091497268"/>
    <n v="88.52859731151284"/>
    <n v="7.112871842823381"/>
    <n v="95.641469154336221"/>
    <n v="0"/>
    <n v="0"/>
    <n v="0"/>
    <n v="95.6414691543362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5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81">
        <item m="1" x="81"/>
        <item m="1" x="105"/>
        <item m="1" x="129"/>
        <item m="1" x="153"/>
        <item m="1" x="177"/>
        <item m="1" x="57"/>
        <item m="1" x="92"/>
        <item m="1" x="116"/>
        <item m="1" x="140"/>
        <item m="1" x="164"/>
        <item m="1" x="44"/>
        <item m="1" x="68"/>
        <item m="1" x="82"/>
        <item m="1" x="106"/>
        <item m="1" x="130"/>
        <item m="1" x="154"/>
        <item m="1" x="178"/>
        <item m="1" x="58"/>
        <item m="1" x="94"/>
        <item m="1" x="118"/>
        <item m="1" x="142"/>
        <item m="1" x="166"/>
        <item m="1" x="46"/>
        <item m="1" x="70"/>
        <item m="1" x="83"/>
        <item m="1" x="107"/>
        <item m="1" x="131"/>
        <item m="1" x="155"/>
        <item m="1" x="179"/>
        <item m="1" x="59"/>
        <item m="1" x="95"/>
        <item m="1" x="119"/>
        <item m="1" x="143"/>
        <item m="1" x="167"/>
        <item m="1" x="47"/>
        <item m="1" x="71"/>
        <item m="1" x="84"/>
        <item m="1" x="108"/>
        <item m="1" x="132"/>
        <item m="1" x="156"/>
        <item m="1" x="36"/>
        <item m="1" x="60"/>
        <item m="1" x="96"/>
        <item m="1" x="120"/>
        <item m="1" x="144"/>
        <item m="1" x="168"/>
        <item m="1" x="48"/>
        <item m="1" x="72"/>
        <item m="1" x="85"/>
        <item m="1" x="109"/>
        <item m="1" x="133"/>
        <item m="1" x="157"/>
        <item m="1" x="37"/>
        <item m="1" x="61"/>
        <item m="1" x="97"/>
        <item m="1" x="121"/>
        <item m="1" x="145"/>
        <item m="1" x="169"/>
        <item m="1" x="49"/>
        <item m="1" x="73"/>
        <item m="1" x="86"/>
        <item m="1" x="110"/>
        <item m="1" x="134"/>
        <item m="1" x="158"/>
        <item m="1" x="38"/>
        <item m="1" x="62"/>
        <item m="1" x="98"/>
        <item m="1" x="122"/>
        <item m="1" x="146"/>
        <item m="1" x="170"/>
        <item m="1" x="50"/>
        <item m="1" x="74"/>
        <item m="1" x="87"/>
        <item m="1" x="111"/>
        <item m="1" x="135"/>
        <item m="1" x="159"/>
        <item m="1" x="39"/>
        <item m="1" x="63"/>
        <item m="1" x="99"/>
        <item m="1" x="123"/>
        <item m="1" x="147"/>
        <item m="1" x="171"/>
        <item m="1" x="51"/>
        <item m="1" x="75"/>
        <item m="1" x="88"/>
        <item m="1" x="112"/>
        <item m="1" x="136"/>
        <item m="1" x="160"/>
        <item m="1" x="40"/>
        <item m="1" x="64"/>
        <item m="1" x="100"/>
        <item m="1" x="124"/>
        <item m="1" x="148"/>
        <item m="1" x="172"/>
        <item m="1" x="52"/>
        <item m="1" x="76"/>
        <item m="1" x="89"/>
        <item m="1" x="113"/>
        <item m="1" x="137"/>
        <item m="1" x="161"/>
        <item m="1" x="41"/>
        <item m="1" x="65"/>
        <item m="1" x="101"/>
        <item m="1" x="125"/>
        <item m="1" x="149"/>
        <item m="1" x="173"/>
        <item m="1" x="53"/>
        <item m="1" x="77"/>
        <item m="1" x="90"/>
        <item m="1" x="114"/>
        <item m="1" x="138"/>
        <item m="1" x="162"/>
        <item m="1" x="42"/>
        <item m="1" x="66"/>
        <item m="1" x="102"/>
        <item m="1" x="126"/>
        <item m="1" x="150"/>
        <item m="1" x="174"/>
        <item m="1" x="54"/>
        <item m="1" x="78"/>
        <item m="1" x="91"/>
        <item m="1" x="115"/>
        <item m="1" x="139"/>
        <item m="1" x="163"/>
        <item m="1" x="43"/>
        <item m="1" x="67"/>
        <item m="1" x="103"/>
        <item m="1" x="127"/>
        <item m="1" x="151"/>
        <item m="1" x="175"/>
        <item m="1" x="55"/>
        <item m="1" x="79"/>
        <item m="1" x="93"/>
        <item m="1" x="117"/>
        <item m="1" x="141"/>
        <item m="1" x="165"/>
        <item m="1" x="45"/>
        <item m="1" x="69"/>
        <item m="1" x="104"/>
        <item m="1" x="128"/>
        <item m="1" x="152"/>
        <item m="1" x="176"/>
        <item m="1" x="56"/>
        <item m="1" x="80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R18" sqref="A1:R18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1"/>
  <sheetViews>
    <sheetView tabSelected="1" zoomScale="85" zoomScaleNormal="85" zoomScaleSheetLayoutView="100" workbookViewId="0">
      <selection activeCell="K14" sqref="K14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37" t="str">
        <f>+Transactions!B1</f>
        <v>AEPTCo Formula Rate -- FERC Docket ER18-195</v>
      </c>
      <c r="D1" s="237"/>
      <c r="E1" s="237"/>
      <c r="F1" s="237"/>
      <c r="G1" s="237"/>
      <c r="H1" s="237"/>
      <c r="I1" s="237"/>
      <c r="J1" s="6">
        <v>2024</v>
      </c>
    </row>
    <row r="2" spans="2:17" ht="13" x14ac:dyDescent="0.3">
      <c r="C2" s="237" t="s">
        <v>36</v>
      </c>
      <c r="D2" s="237"/>
      <c r="E2" s="237"/>
      <c r="F2" s="237"/>
      <c r="G2" s="237"/>
      <c r="H2" s="237"/>
      <c r="I2" s="237"/>
    </row>
    <row r="3" spans="2:17" ht="13" x14ac:dyDescent="0.3">
      <c r="C3" s="237" t="str">
        <f>"for period 01/01/"&amp;F8&amp;" - 12/31/"&amp;F8</f>
        <v>for period 01/01/2024 - 12/31/2024</v>
      </c>
      <c r="D3" s="237"/>
      <c r="E3" s="237"/>
      <c r="F3" s="237"/>
      <c r="G3" s="237"/>
      <c r="H3" s="237"/>
      <c r="I3" s="237"/>
    </row>
    <row r="4" spans="2:17" ht="13" x14ac:dyDescent="0.3">
      <c r="C4" s="237" t="s">
        <v>94</v>
      </c>
      <c r="D4" s="237"/>
      <c r="E4" s="237"/>
      <c r="F4" s="237"/>
      <c r="G4" s="237"/>
      <c r="H4" s="237"/>
      <c r="I4" s="237"/>
    </row>
    <row r="5" spans="2:17" x14ac:dyDescent="0.25">
      <c r="C5" s="7" t="str">
        <f>"Prepared:  May 24_, "&amp;J1+1&amp;""</f>
        <v>Prepared:  May 24_, 2025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2024</v>
      </c>
    </row>
    <row r="9" spans="2:17" ht="20.25" customHeight="1" x14ac:dyDescent="0.3">
      <c r="E9" s="12" t="s">
        <v>93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2024 Projections 2024)</v>
      </c>
      <c r="F10" s="18" t="str">
        <f>"(per "&amp;F8&amp;" Update of May "&amp;F8+1&amp;")"</f>
        <v>(per 2024 Update of May 2025)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1014933.8001147518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1106762.5822241486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9.9985597205614507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10.866487145184125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92</v>
      </c>
      <c r="I19" s="54" t="s">
        <v>91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50</v>
      </c>
      <c r="D20" s="56" t="str">
        <f>"Actual Charge
("&amp;F8&amp;" True-Up)"</f>
        <v>Actual Charge
(2024 True-Up)</v>
      </c>
      <c r="E20" s="57" t="str">
        <f>"Invoiced for
CY"&amp;F8&amp;" Transmission Service"</f>
        <v>Invoiced for
CY2024 Transmission Service</v>
      </c>
      <c r="F20" s="56" t="s">
        <v>97</v>
      </c>
      <c r="G20" s="58" t="s">
        <v>98</v>
      </c>
      <c r="H20" s="58" t="s">
        <v>86</v>
      </c>
      <c r="I20" s="56" t="s">
        <v>99</v>
      </c>
      <c r="L20" s="50"/>
      <c r="M20" s="51"/>
      <c r="N20" s="51"/>
      <c r="O20" s="51"/>
      <c r="P20" s="51"/>
      <c r="Q20" s="51"/>
    </row>
    <row r="21" spans="2:17" x14ac:dyDescent="0.25">
      <c r="B21" s="59"/>
      <c r="C21" s="60" t="s">
        <v>14</v>
      </c>
      <c r="D21" s="61">
        <f>GETPIVOTDATA("Sum of "&amp;T(Transactions!$J$19),Pivot!$A$3,"Customer",C21)</f>
        <v>104894.20041246235</v>
      </c>
      <c r="E21" s="61">
        <f>GETPIVOTDATA("Sum of "&amp;T(Transactions!$K$19),Pivot!$A$3,"Customer",C21)</f>
        <v>96516.096982579693</v>
      </c>
      <c r="F21" s="61">
        <f>D21-E21</f>
        <v>8378.1034298826562</v>
      </c>
      <c r="G21" s="51">
        <f>+GETPIVOTDATA("Sum of "&amp;T(Transactions!$M$19),Pivot!$A$3,"Customer","AECC")</f>
        <v>673.1426656742558</v>
      </c>
      <c r="H21" s="51">
        <f>GETPIVOTDATA("Sum of "&amp;T(Transactions!$Q$19),Pivot!$A$3,"Customer","AECC")</f>
        <v>0</v>
      </c>
      <c r="I21" s="62">
        <f>F21+G21-H21</f>
        <v>9051.2460955569113</v>
      </c>
      <c r="J21" s="59"/>
      <c r="L21" s="50"/>
      <c r="M21" s="51"/>
      <c r="N21" s="51"/>
      <c r="O21" s="51"/>
      <c r="P21" s="51"/>
      <c r="Q21" s="51"/>
    </row>
    <row r="22" spans="2:17" x14ac:dyDescent="0.25">
      <c r="B22" s="59"/>
      <c r="C22" s="63" t="s">
        <v>83</v>
      </c>
      <c r="D22" s="61">
        <f>GETPIVOTDATA("Sum of "&amp;T(Transactions!$J$19),Pivot!$A$3,"Customer",C22)</f>
        <v>5368.0446497209578</v>
      </c>
      <c r="E22" s="61">
        <f>GETPIVOTDATA("Sum of "&amp;T(Transactions!$K$19),Pivot!$A$3,"Customer",C22)</f>
        <v>4939.2885019573569</v>
      </c>
      <c r="F22" s="61">
        <f>D22-E22</f>
        <v>428.75614776360089</v>
      </c>
      <c r="G22" s="51">
        <f>+GETPIVOTDATA("Sum of "&amp;T(Transactions!$M$19),Pivot!$A$3,"Customer","AECI")</f>
        <v>34.448614611321084</v>
      </c>
      <c r="H22" s="51">
        <f>GETPIVOTDATA("Sum of "&amp;T(Transactions!$Q$19),Pivot!$A$3,"Customer",C22)</f>
        <v>0</v>
      </c>
      <c r="I22" s="62">
        <f t="shared" ref="I22:I33" si="0">F22+G22-H22</f>
        <v>463.20476237492198</v>
      </c>
      <c r="J22" s="59"/>
      <c r="L22" s="50"/>
      <c r="M22" s="51"/>
      <c r="N22" s="51"/>
      <c r="O22" s="51"/>
      <c r="P22" s="51"/>
      <c r="Q22" s="51"/>
    </row>
    <row r="23" spans="2:17" x14ac:dyDescent="0.25">
      <c r="B23" s="59"/>
      <c r="C23" s="63" t="s">
        <v>54</v>
      </c>
      <c r="D23" s="61">
        <f>GETPIVOTDATA("Sum of "&amp;T(Transactions!$J$19),Pivot!$A$3,"Customer",C23)</f>
        <v>16929.986972196864</v>
      </c>
      <c r="E23" s="61">
        <f>GETPIVOTDATA("Sum of "&amp;T(Transactions!$K$19),Pivot!$A$3,"Customer",C23)</f>
        <v>15577.756044634742</v>
      </c>
      <c r="F23" s="61">
        <f t="shared" ref="F23:F35" si="1">D23-E23</f>
        <v>1352.2309275621228</v>
      </c>
      <c r="G23" s="51">
        <f>+GETPIVOTDATA("Sum of "&amp;T(Transactions!$M$19),Pivot!$A$3,"Customer","Bentonville, AR")</f>
        <v>108.6456306972434</v>
      </c>
      <c r="H23" s="51">
        <f>GETPIVOTDATA("Sum of "&amp;T(Transactions!$Q$19),Pivot!$A$3,"Customer",C23)</f>
        <v>0</v>
      </c>
      <c r="I23" s="62">
        <f t="shared" si="0"/>
        <v>1460.8765582593662</v>
      </c>
      <c r="J23" s="59"/>
      <c r="L23" s="50"/>
      <c r="M23" s="51"/>
      <c r="N23" s="51"/>
      <c r="O23" s="51"/>
      <c r="P23" s="51"/>
      <c r="Q23" s="51"/>
    </row>
    <row r="24" spans="2:17" x14ac:dyDescent="0.25">
      <c r="B24" s="59"/>
      <c r="C24" s="60" t="s">
        <v>17</v>
      </c>
      <c r="D24" s="61">
        <f>GETPIVOTDATA("Sum of "&amp;T(Transactions!$J$19),Pivot!$A$3,"Customer",C24)</f>
        <v>13898.237058690494</v>
      </c>
      <c r="E24" s="61">
        <f>GETPIVOTDATA("Sum of "&amp;T(Transactions!$K$19),Pivot!$A$3,"Customer",C24)</f>
        <v>12788.157882598094</v>
      </c>
      <c r="F24" s="61">
        <f t="shared" si="1"/>
        <v>1110.0791760924003</v>
      </c>
      <c r="G24" s="51">
        <f>+GETPIVOTDATA("Sum of "&amp;T(Transactions!$M$19),Pivot!$A$3,"Customer","Coffeyville, KS")</f>
        <v>89.189834185991231</v>
      </c>
      <c r="H24" s="51">
        <f>GETPIVOTDATA("Sum of "&amp;T(Transactions!$Q$19),Pivot!$A$3,"Customer",C24)</f>
        <v>0</v>
      </c>
      <c r="I24" s="62">
        <f t="shared" si="0"/>
        <v>1199.2690102783915</v>
      </c>
      <c r="J24" s="59"/>
      <c r="L24" s="50"/>
      <c r="M24" s="51"/>
      <c r="N24" s="51"/>
      <c r="O24" s="51"/>
      <c r="P24" s="51"/>
      <c r="Q24" s="51"/>
    </row>
    <row r="25" spans="2:17" x14ac:dyDescent="0.25">
      <c r="B25" s="59"/>
      <c r="C25" s="63" t="s">
        <v>13</v>
      </c>
      <c r="D25" s="61">
        <f>GETPIVOTDATA("Sum of "&amp;T(Transactions!$J$19),Pivot!$A$3,"Customer",C25)</f>
        <v>110164.44667787667</v>
      </c>
      <c r="E25" s="61">
        <f>GETPIVOTDATA("Sum of "&amp;T(Transactions!$K$19),Pivot!$A$3,"Customer",C25)</f>
        <v>101365.39844705198</v>
      </c>
      <c r="F25" s="61">
        <f t="shared" si="1"/>
        <v>8799.0482308246865</v>
      </c>
      <c r="G25" s="51">
        <f>+GETPIVOTDATA("Sum of "&amp;T(Transactions!$M$19),Pivot!$A$3,"Customer","ETEC")</f>
        <v>706.9636739465044</v>
      </c>
      <c r="H25" s="51">
        <f>GETPIVOTDATA("Sum of "&amp;T(Transactions!$Q$19),Pivot!$A$3,"Customer",C25)</f>
        <v>0</v>
      </c>
      <c r="I25" s="62">
        <f t="shared" si="0"/>
        <v>9506.0119047711905</v>
      </c>
      <c r="J25" s="59"/>
      <c r="L25" s="52"/>
      <c r="M25" s="51"/>
      <c r="N25" s="51"/>
      <c r="O25" s="51"/>
      <c r="P25" s="51"/>
      <c r="Q25" s="51"/>
    </row>
    <row r="26" spans="2:17" x14ac:dyDescent="0.25">
      <c r="B26" s="59"/>
      <c r="C26" s="60" t="s">
        <v>15</v>
      </c>
      <c r="D26" s="61">
        <f>GETPIVOTDATA("Sum of "&amp;T(Transactions!$J$19),Pivot!$A$3,"Customer",C26)</f>
        <v>1217.0465602606221</v>
      </c>
      <c r="E26" s="61">
        <f>GETPIVOTDATA("Sum of "&amp;T(Transactions!$K$19),Pivot!$A$3,"Customer",C26)</f>
        <v>1119.8386887028826</v>
      </c>
      <c r="F26" s="61">
        <f t="shared" si="1"/>
        <v>97.207871557739509</v>
      </c>
      <c r="G26" s="51">
        <f>+GETPIVOTDATA("Sum of "&amp;T(Transactions!$M$19),Pivot!$A$3,"Customer","Greenbelt")</f>
        <v>7.8102122195707722</v>
      </c>
      <c r="H26" s="51">
        <f>GETPIVOTDATA("Sum of "&amp;T(Transactions!$Q$19),Pivot!$A$3,"Customer",C26)</f>
        <v>0</v>
      </c>
      <c r="I26" s="62">
        <f t="shared" si="0"/>
        <v>105.01808377731028</v>
      </c>
      <c r="J26" s="59"/>
      <c r="K26" s="64"/>
      <c r="L26" s="64"/>
      <c r="M26" s="64"/>
      <c r="N26" s="64"/>
      <c r="O26" s="51"/>
      <c r="P26" s="51"/>
      <c r="Q26" s="51"/>
    </row>
    <row r="27" spans="2:17" x14ac:dyDescent="0.25">
      <c r="B27" s="59"/>
      <c r="C27" s="60" t="s">
        <v>57</v>
      </c>
      <c r="D27" s="61">
        <f>GETPIVOTDATA("Sum of "&amp;T(Transactions!$J$19),Pivot!$A$3,"Customer",C27)</f>
        <v>5020.3170610750658</v>
      </c>
      <c r="E27" s="61">
        <f>GETPIVOTDATA("Sum of "&amp;T(Transactions!$K$19),Pivot!$A$3,"Customer",C27)</f>
        <v>4619.3345908993897</v>
      </c>
      <c r="F27" s="61">
        <f t="shared" si="1"/>
        <v>400.9824701756761</v>
      </c>
      <c r="G27" s="51">
        <f>+GETPIVOTDATA("Sum of "&amp;T(Transactions!$M$19),Pivot!$A$3,"Customer","Hope, AR")</f>
        <v>32.217125405729433</v>
      </c>
      <c r="H27" s="51">
        <f>GETPIVOTDATA("Sum of "&amp;T(Transactions!$Q$19),Pivot!$A$3,"Customer",C27)</f>
        <v>0</v>
      </c>
      <c r="I27" s="62">
        <f t="shared" si="0"/>
        <v>433.19959558140556</v>
      </c>
      <c r="J27" s="59"/>
      <c r="K27" s="64"/>
      <c r="L27" s="64"/>
      <c r="M27" s="64"/>
      <c r="N27" s="64"/>
      <c r="O27" s="51"/>
      <c r="P27" s="51"/>
      <c r="Q27" s="51"/>
    </row>
    <row r="28" spans="2:17" x14ac:dyDescent="0.25">
      <c r="B28" s="59"/>
      <c r="C28" s="60" t="s">
        <v>16</v>
      </c>
      <c r="D28" s="61">
        <f>GETPIVOTDATA("Sum of "&amp;T(Transactions!$J$19),Pivot!$A$3,"Customer",C28)</f>
        <v>488.99192153328562</v>
      </c>
      <c r="E28" s="61">
        <f>GETPIVOTDATA("Sum of "&amp;T(Transactions!$K$19),Pivot!$A$3,"Customer",C28)</f>
        <v>449.93518742526521</v>
      </c>
      <c r="F28" s="61">
        <f t="shared" si="1"/>
        <v>39.056734108020407</v>
      </c>
      <c r="G28" s="51">
        <f>+GETPIVOTDATA("Sum of "&amp;T(Transactions!$M$19),Pivot!$A$3,"Customer","Lighthouse")</f>
        <v>3.1380316953632561</v>
      </c>
      <c r="H28" s="51">
        <f>GETPIVOTDATA("Sum of "&amp;T(Transactions!$Q$19),Pivot!$A$3,"Customer",C28)</f>
        <v>0</v>
      </c>
      <c r="I28" s="62">
        <f t="shared" si="0"/>
        <v>42.19476580338366</v>
      </c>
      <c r="J28" s="59"/>
      <c r="L28" s="50"/>
      <c r="M28" s="51"/>
      <c r="N28" s="51"/>
      <c r="O28" s="51"/>
      <c r="P28" s="51"/>
      <c r="Q28" s="51"/>
    </row>
    <row r="29" spans="2:17" x14ac:dyDescent="0.25">
      <c r="B29" s="59"/>
      <c r="C29" s="63" t="s">
        <v>56</v>
      </c>
      <c r="D29" s="61">
        <f>GETPIVOTDATA("Sum of "&amp;T(Transactions!$J$19),Pivot!$A$3,"Customer",C29)</f>
        <v>3542.4748093300254</v>
      </c>
      <c r="E29" s="61">
        <f>GETPIVOTDATA("Sum of "&amp;T(Transactions!$K$19),Pivot!$A$3,"Customer",C29)</f>
        <v>3259.5304689030331</v>
      </c>
      <c r="F29" s="61">
        <f t="shared" si="1"/>
        <v>282.94434042699231</v>
      </c>
      <c r="G29" s="51">
        <f>+GETPIVOTDATA("Sum of "&amp;T(Transactions!$M$19),Pivot!$A$3,"Customer","Minden, LA")</f>
        <v>22.733296281964925</v>
      </c>
      <c r="H29" s="51">
        <f>GETPIVOTDATA("Sum of "&amp;T(Transactions!$Q$19),Pivot!$A$3,"Customer",C29)</f>
        <v>0</v>
      </c>
      <c r="I29" s="62">
        <f t="shared" si="0"/>
        <v>305.67763670895727</v>
      </c>
      <c r="J29" s="59"/>
      <c r="L29" s="50"/>
      <c r="M29" s="51"/>
      <c r="N29" s="51"/>
      <c r="O29" s="51"/>
      <c r="P29" s="51"/>
      <c r="Q29" s="51"/>
    </row>
    <row r="30" spans="2:17" x14ac:dyDescent="0.25">
      <c r="B30" s="59"/>
      <c r="C30" s="63" t="s">
        <v>19</v>
      </c>
      <c r="D30" s="61">
        <f>GETPIVOTDATA("Sum of "&amp;T(Transactions!$J$19),Pivot!$A$3,"Customer",C30)</f>
        <v>8562.7918704050899</v>
      </c>
      <c r="E30" s="61">
        <f>GETPIVOTDATA("Sum of "&amp;T(Transactions!$K$19),Pivot!$A$3,"Customer",C30)</f>
        <v>7878.8650598024233</v>
      </c>
      <c r="F30" s="61">
        <f t="shared" si="1"/>
        <v>683.92681060266659</v>
      </c>
      <c r="G30" s="51">
        <f>+GETPIVOTDATA("Sum of "&amp;T(Transactions!$M$19),Pivot!$A$3,"Customer","OG&amp;E")</f>
        <v>54.950421687694352</v>
      </c>
      <c r="H30" s="51">
        <f>GETPIVOTDATA("Sum of "&amp;T(Transactions!$Q$19),Pivot!$A$3,"Customer",C30)</f>
        <v>0</v>
      </c>
      <c r="I30" s="62">
        <f t="shared" si="0"/>
        <v>738.87723229036089</v>
      </c>
      <c r="J30" s="59"/>
    </row>
    <row r="31" spans="2:17" x14ac:dyDescent="0.25">
      <c r="B31" s="59"/>
      <c r="C31" s="60" t="s">
        <v>8</v>
      </c>
      <c r="D31" s="61">
        <f>GETPIVOTDATA("Sum of "&amp;T(Transactions!$J$19),Pivot!$A$3,"Customer",C31)</f>
        <v>13887.370571545311</v>
      </c>
      <c r="E31" s="61">
        <f>GETPIVOTDATA("Sum of "&amp;T(Transactions!$K$19),Pivot!$A$3,"Customer",C31)</f>
        <v>12778.159322877535</v>
      </c>
      <c r="F31" s="61">
        <f t="shared" si="1"/>
        <v>1109.2112486677761</v>
      </c>
      <c r="G31" s="51">
        <f>+GETPIVOTDATA("Sum of "&amp;T(Transactions!$M$19),Pivot!$A$3,"Customer","OMPA")</f>
        <v>89.120100148316482</v>
      </c>
      <c r="H31" s="51">
        <f>GETPIVOTDATA("Sum of "&amp;T(Transactions!$Q$19),Pivot!$A$3,"Customer",C31)</f>
        <v>0</v>
      </c>
      <c r="I31" s="62">
        <f t="shared" si="0"/>
        <v>1198.3313488160925</v>
      </c>
      <c r="J31" s="59"/>
    </row>
    <row r="32" spans="2:17" x14ac:dyDescent="0.25">
      <c r="B32" s="59"/>
      <c r="C32" s="60" t="s">
        <v>55</v>
      </c>
      <c r="D32" s="61">
        <f>GETPIVOTDATA("Sum of "&amp;T(Transactions!$J$19),Pivot!$A$3,"Customer",C32)</f>
        <v>1293.1119702769108</v>
      </c>
      <c r="E32" s="61">
        <f>GETPIVOTDATA("Sum of "&amp;T(Transactions!$K$19),Pivot!$A$3,"Customer",C32)</f>
        <v>1189.8286067468127</v>
      </c>
      <c r="F32" s="61">
        <f t="shared" si="1"/>
        <v>103.28336353009809</v>
      </c>
      <c r="G32" s="51">
        <f>+GETPIVOTDATA("Sum of "&amp;T(Transactions!$M$19),Pivot!$A$3,"Customer","Prescott, AR")</f>
        <v>8.2983504832939445</v>
      </c>
      <c r="H32" s="51">
        <f>GETPIVOTDATA("Sum of "&amp;T(Transactions!$Q$19),Pivot!$A$3,"Customer",C32)</f>
        <v>0</v>
      </c>
      <c r="I32" s="62">
        <f t="shared" si="0"/>
        <v>111.58171401339203</v>
      </c>
      <c r="J32" s="59"/>
    </row>
    <row r="33" spans="2:11" x14ac:dyDescent="0.25">
      <c r="B33" s="59"/>
      <c r="C33" s="65" t="s">
        <v>9</v>
      </c>
      <c r="D33" s="61">
        <f>GETPIVOTDATA("Sum of "&amp;T(Transactions!$J$19),Pivot!$A$3,"Customer",C33)</f>
        <v>6987.1512343533923</v>
      </c>
      <c r="E33" s="61">
        <f>GETPIVOTDATA("Sum of "&amp;T(Transactions!$K$19),Pivot!$A$3,"Customer",C33)</f>
        <v>6429.0739003210128</v>
      </c>
      <c r="F33" s="61">
        <f t="shared" si="1"/>
        <v>558.07733403237944</v>
      </c>
      <c r="G33" s="51">
        <f>+GETPIVOTDATA("Sum of "&amp;T(Transactions!$M$19),Pivot!$A$3,"Customer","WFEC")</f>
        <v>44.838986224857202</v>
      </c>
      <c r="H33" s="51">
        <f>GETPIVOTDATA("Sum of "&amp;T(Transactions!$Q$19),Pivot!$A$3,"Customer",C33)</f>
        <v>0</v>
      </c>
      <c r="I33" s="62">
        <f t="shared" si="0"/>
        <v>602.91632025723663</v>
      </c>
      <c r="J33" s="59"/>
    </row>
    <row r="34" spans="2:11" ht="23" x14ac:dyDescent="0.25">
      <c r="C34" s="66" t="s">
        <v>43</v>
      </c>
      <c r="D34" s="67">
        <f t="shared" ref="D34:I34" si="2">SUM(D21:D33)</f>
        <v>292254.17176972702</v>
      </c>
      <c r="E34" s="67">
        <f t="shared" si="2"/>
        <v>268911.26368450024</v>
      </c>
      <c r="F34" s="67">
        <f t="shared" si="2"/>
        <v>23342.90808522682</v>
      </c>
      <c r="G34" s="68">
        <f t="shared" si="2"/>
        <v>1875.4969432621062</v>
      </c>
      <c r="H34" s="68">
        <f t="shared" si="2"/>
        <v>0</v>
      </c>
      <c r="I34" s="69">
        <f t="shared" si="2"/>
        <v>25218.40502848892</v>
      </c>
    </row>
    <row r="35" spans="2:11" x14ac:dyDescent="0.25">
      <c r="C35" s="70" t="s">
        <v>21</v>
      </c>
      <c r="D35" s="61">
        <f>GETPIVOTDATA("Sum of "&amp;T(Transactions!$J$19),Pivot!$A$3,"Customer",C35)</f>
        <v>416023.46035337431</v>
      </c>
      <c r="E35" s="61">
        <f>GETPIVOTDATA("Sum of "&amp;T(Transactions!$K$19),Pivot!$A$3,"Customer",C35)</f>
        <v>382794.85890169517</v>
      </c>
      <c r="F35" s="61">
        <f t="shared" si="1"/>
        <v>33228.601451679133</v>
      </c>
      <c r="G35" s="51">
        <f>+GETPIVOTDATA("Sum of "&amp;T(Transactions!$M$19),Pivot!$A$3,"Customer","PSO")</f>
        <v>2669.7676323773835</v>
      </c>
      <c r="H35" s="51">
        <f>GETPIVOTDATA("Sum of "&amp;T(Transactions!$Q$19),Pivot!$A$3,"Customer",C35)</f>
        <v>0</v>
      </c>
      <c r="I35" s="62">
        <f>F35+G35-H35</f>
        <v>35898.369084056518</v>
      </c>
    </row>
    <row r="36" spans="2:11" x14ac:dyDescent="0.25">
      <c r="C36" s="71" t="s">
        <v>22</v>
      </c>
      <c r="D36" s="61">
        <f>GETPIVOTDATA("Sum of "&amp;T(Transactions!$J$19),Pivot!$A$3,"Customer",C36)</f>
        <v>381218.10202734941</v>
      </c>
      <c r="E36" s="61">
        <f>GETPIVOTDATA("Sum of "&amp;T(Transactions!$K$19),Pivot!$A$3,"Customer",C36)</f>
        <v>350769.47211673675</v>
      </c>
      <c r="F36" s="61">
        <f>D36-E36</f>
        <v>30448.629910612653</v>
      </c>
      <c r="G36" s="51">
        <f>+GETPIVOTDATA("Sum of "&amp;T(Transactions!$M$19),Pivot!$A$3,"Customer","SWEPCO")</f>
        <v>2446.4095097051945</v>
      </c>
      <c r="H36" s="51">
        <f>GETPIVOTDATA("Sum of "&amp;T(Transactions!$Q$19),Pivot!$A$3,"Customer",C36)</f>
        <v>0</v>
      </c>
      <c r="I36" s="62">
        <f>F36+G36-H36</f>
        <v>32895.039420317851</v>
      </c>
    </row>
    <row r="37" spans="2:11" x14ac:dyDescent="0.25">
      <c r="C37" s="72" t="s">
        <v>81</v>
      </c>
      <c r="D37" s="61">
        <f>GETPIVOTDATA("Sum of "&amp;T(Transactions!$J$19),Pivot!$A$3,"Customer",C37)</f>
        <v>17266.848073697576</v>
      </c>
      <c r="E37" s="61">
        <f>GETPIVOTDATA("Sum of "&amp;T(Transactions!$K$19),Pivot!$A$3,"Customer",C37)</f>
        <v>15887.711395972143</v>
      </c>
      <c r="F37" s="61">
        <f>D37-E37</f>
        <v>1379.1366777254334</v>
      </c>
      <c r="G37" s="51">
        <f>+GETPIVOTDATA("Sum of "&amp;T(Transactions!$M$19),Pivot!$A$3,"Customer","SWEPCO-Valley")</f>
        <v>110.80738586516033</v>
      </c>
      <c r="H37" s="51">
        <f>GETPIVOTDATA("Sum of "&amp;T(Transactions!$Q$19),Pivot!$A$3,"Customer",C37)</f>
        <v>0</v>
      </c>
      <c r="I37" s="62">
        <f>F37+G37-H37</f>
        <v>1489.9440635905937</v>
      </c>
    </row>
    <row r="38" spans="2:11" ht="23" x14ac:dyDescent="0.25">
      <c r="C38" s="73" t="s">
        <v>51</v>
      </c>
      <c r="D38" s="74">
        <f t="shared" ref="D38:I38" si="3">SUM(D35:D37)</f>
        <v>814508.41045442119</v>
      </c>
      <c r="E38" s="74">
        <f t="shared" si="3"/>
        <v>749452.0424144041</v>
      </c>
      <c r="F38" s="74">
        <f t="shared" si="3"/>
        <v>65056.368040017216</v>
      </c>
      <c r="G38" s="75">
        <f t="shared" si="3"/>
        <v>5226.9845279477386</v>
      </c>
      <c r="H38" s="75">
        <f t="shared" si="3"/>
        <v>0</v>
      </c>
      <c r="I38" s="76">
        <f t="shared" si="3"/>
        <v>70283.352567964961</v>
      </c>
      <c r="K38" s="77"/>
    </row>
    <row r="39" spans="2:11" ht="23.25" customHeight="1" thickBot="1" x14ac:dyDescent="0.3">
      <c r="C39" s="78" t="s">
        <v>44</v>
      </c>
      <c r="D39" s="79">
        <f t="shared" ref="D39:I39" si="4">SUM(D34,D38)</f>
        <v>1106762.5822241483</v>
      </c>
      <c r="E39" s="80">
        <f t="shared" si="4"/>
        <v>1018363.3060989043</v>
      </c>
      <c r="F39" s="79">
        <f t="shared" si="4"/>
        <v>88399.27612524404</v>
      </c>
      <c r="G39" s="80">
        <f t="shared" si="4"/>
        <v>7102.481471209845</v>
      </c>
      <c r="H39" s="80">
        <f t="shared" si="4"/>
        <v>0</v>
      </c>
      <c r="I39" s="81">
        <f t="shared" si="4"/>
        <v>95501.757596453885</v>
      </c>
      <c r="K39" s="77"/>
    </row>
    <row r="40" spans="2:11" x14ac:dyDescent="0.25">
      <c r="E40" s="50"/>
      <c r="F40" s="50"/>
      <c r="G40" s="50"/>
      <c r="H40" s="50"/>
    </row>
    <row r="41" spans="2:11" x14ac:dyDescent="0.25">
      <c r="I41" s="211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F5" activePane="bottomRight" state="frozen"/>
      <selection activeCell="K14" sqref="K14"/>
      <selection pane="topRight" activeCell="K14" sqref="K14"/>
      <selection pane="bottomLeft" activeCell="K14" sqref="K14"/>
      <selection pane="bottomRight" activeCell="K14" sqref="K14"/>
    </sheetView>
  </sheetViews>
  <sheetFormatPr defaultColWidth="8.7265625" defaultRowHeight="12.5" x14ac:dyDescent="0.25"/>
  <cols>
    <col min="1" max="1" width="19.1796875" style="1" customWidth="1"/>
    <col min="2" max="2" width="28.54296875" style="1" bestFit="1" customWidth="1"/>
    <col min="3" max="14" width="15.453125" style="1" bestFit="1" customWidth="1"/>
    <col min="15" max="15" width="10.54296875" style="1" bestFit="1" customWidth="1"/>
    <col min="16" max="16384" width="8.7265625" style="1"/>
  </cols>
  <sheetData>
    <row r="3" spans="1:15" x14ac:dyDescent="0.25">
      <c r="A3" s="213"/>
      <c r="B3" s="214"/>
      <c r="C3" s="215" t="s">
        <v>53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</row>
    <row r="4" spans="1:15" x14ac:dyDescent="0.25">
      <c r="A4" s="215" t="s">
        <v>0</v>
      </c>
      <c r="B4" s="215" t="s">
        <v>24</v>
      </c>
      <c r="C4" s="217">
        <v>45292</v>
      </c>
      <c r="D4" s="218">
        <v>45323</v>
      </c>
      <c r="E4" s="218">
        <v>45352</v>
      </c>
      <c r="F4" s="218">
        <v>45383</v>
      </c>
      <c r="G4" s="218">
        <v>45413</v>
      </c>
      <c r="H4" s="218">
        <v>45444</v>
      </c>
      <c r="I4" s="218">
        <v>45474</v>
      </c>
      <c r="J4" s="218">
        <v>45505</v>
      </c>
      <c r="K4" s="218">
        <v>45536</v>
      </c>
      <c r="L4" s="218">
        <v>45566</v>
      </c>
      <c r="M4" s="218">
        <v>45597</v>
      </c>
      <c r="N4" s="218">
        <v>45627</v>
      </c>
      <c r="O4" s="219" t="s">
        <v>18</v>
      </c>
    </row>
    <row r="5" spans="1:15" x14ac:dyDescent="0.25">
      <c r="A5" s="213" t="s">
        <v>14</v>
      </c>
      <c r="B5" s="213" t="s">
        <v>70</v>
      </c>
      <c r="C5" s="220">
        <v>12268.263986912878</v>
      </c>
      <c r="D5" s="221">
        <v>8030.3340002910691</v>
      </c>
      <c r="E5" s="221">
        <v>6976.2847472082085</v>
      </c>
      <c r="F5" s="221">
        <v>6313.4290313519768</v>
      </c>
      <c r="G5" s="221">
        <v>8182.4648203236466</v>
      </c>
      <c r="H5" s="221">
        <v>10877.35363232931</v>
      </c>
      <c r="I5" s="221">
        <v>10442.694146521944</v>
      </c>
      <c r="J5" s="221">
        <v>11051.217426652256</v>
      </c>
      <c r="K5" s="221">
        <v>9301.7129962776107</v>
      </c>
      <c r="L5" s="221">
        <v>8541.0588961147223</v>
      </c>
      <c r="M5" s="221">
        <v>5031.1835482202505</v>
      </c>
      <c r="N5" s="221">
        <v>7878.2031802584906</v>
      </c>
      <c r="O5" s="222">
        <v>104894.20041246235</v>
      </c>
    </row>
    <row r="6" spans="1:15" ht="13" x14ac:dyDescent="0.3">
      <c r="A6" s="223"/>
      <c r="B6" s="224" t="s">
        <v>25</v>
      </c>
      <c r="C6" s="225">
        <v>979.89006239899936</v>
      </c>
      <c r="D6" s="212">
        <v>641.39836679615655</v>
      </c>
      <c r="E6" s="212">
        <v>557.20940660775705</v>
      </c>
      <c r="F6" s="212">
        <v>504.26583370577373</v>
      </c>
      <c r="G6" s="212">
        <v>653.54935074087462</v>
      </c>
      <c r="H6" s="212">
        <v>868.79535204729837</v>
      </c>
      <c r="I6" s="212">
        <v>834.07825506238987</v>
      </c>
      <c r="J6" s="212">
        <v>882.68219084126031</v>
      </c>
      <c r="K6" s="212">
        <v>742.94587547700939</v>
      </c>
      <c r="L6" s="212">
        <v>682.1909557534218</v>
      </c>
      <c r="M6" s="212">
        <v>401.85039760029849</v>
      </c>
      <c r="N6" s="212">
        <v>629.24738285143849</v>
      </c>
      <c r="O6" s="226">
        <v>8378.103429882678</v>
      </c>
    </row>
    <row r="7" spans="1:15" ht="13" x14ac:dyDescent="0.3">
      <c r="A7" s="223"/>
      <c r="B7" s="224" t="s">
        <v>26</v>
      </c>
      <c r="C7" s="225">
        <v>78.729728534780364</v>
      </c>
      <c r="D7" s="212">
        <v>51.533453841632145</v>
      </c>
      <c r="E7" s="212">
        <v>44.76925218718246</v>
      </c>
      <c r="F7" s="212">
        <v>40.515475889023378</v>
      </c>
      <c r="G7" s="212">
        <v>52.50973036907849</v>
      </c>
      <c r="H7" s="212">
        <v>69.803771712413763</v>
      </c>
      <c r="I7" s="212">
        <v>67.014410205424198</v>
      </c>
      <c r="J7" s="212">
        <v>70.919516315209592</v>
      </c>
      <c r="K7" s="212">
        <v>59.692336249576606</v>
      </c>
      <c r="L7" s="212">
        <v>54.810953612344875</v>
      </c>
      <c r="M7" s="212">
        <v>32.286859443404175</v>
      </c>
      <c r="N7" s="212">
        <v>50.5571773141858</v>
      </c>
      <c r="O7" s="226">
        <v>673.1426656742558</v>
      </c>
    </row>
    <row r="8" spans="1:15" ht="13" x14ac:dyDescent="0.3">
      <c r="A8" s="223"/>
      <c r="B8" s="224" t="s">
        <v>27</v>
      </c>
      <c r="C8" s="225">
        <v>1058.6197909337798</v>
      </c>
      <c r="D8" s="212">
        <v>692.93182063778875</v>
      </c>
      <c r="E8" s="212">
        <v>601.97865879493952</v>
      </c>
      <c r="F8" s="212">
        <v>544.78130959479711</v>
      </c>
      <c r="G8" s="212">
        <v>706.05908110995313</v>
      </c>
      <c r="H8" s="212">
        <v>938.59912375971214</v>
      </c>
      <c r="I8" s="212">
        <v>901.09266526781403</v>
      </c>
      <c r="J8" s="212">
        <v>953.60170715646996</v>
      </c>
      <c r="K8" s="212">
        <v>802.63821172658595</v>
      </c>
      <c r="L8" s="212">
        <v>737.00190936576666</v>
      </c>
      <c r="M8" s="212">
        <v>434.13725704370268</v>
      </c>
      <c r="N8" s="212">
        <v>679.80456016562425</v>
      </c>
      <c r="O8" s="226">
        <v>9051.246095556935</v>
      </c>
    </row>
    <row r="9" spans="1:15" x14ac:dyDescent="0.25">
      <c r="A9" s="223"/>
      <c r="B9" s="224" t="s">
        <v>49</v>
      </c>
      <c r="C9" s="227">
        <v>11288.373924513879</v>
      </c>
      <c r="D9" s="82">
        <v>7388.9356334949125</v>
      </c>
      <c r="E9" s="82">
        <v>6419.0753406004515</v>
      </c>
      <c r="F9" s="82">
        <v>5809.1631976462031</v>
      </c>
      <c r="G9" s="82">
        <v>7528.9154695827719</v>
      </c>
      <c r="H9" s="82">
        <v>10008.558280282012</v>
      </c>
      <c r="I9" s="82">
        <v>9608.6158914595544</v>
      </c>
      <c r="J9" s="82">
        <v>10168.535235810996</v>
      </c>
      <c r="K9" s="82">
        <v>8558.7671208006013</v>
      </c>
      <c r="L9" s="82">
        <v>7858.8679403613005</v>
      </c>
      <c r="M9" s="82">
        <v>4629.333150619952</v>
      </c>
      <c r="N9" s="82">
        <v>7248.9557974070522</v>
      </c>
      <c r="O9" s="228">
        <v>96516.096982579693</v>
      </c>
    </row>
    <row r="10" spans="1:15" x14ac:dyDescent="0.25">
      <c r="A10" s="223"/>
      <c r="B10" s="224" t="s">
        <v>87</v>
      </c>
      <c r="C10" s="227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228">
        <v>0</v>
      </c>
    </row>
    <row r="11" spans="1:15" x14ac:dyDescent="0.25">
      <c r="A11" s="223"/>
      <c r="B11" s="224" t="s">
        <v>89</v>
      </c>
      <c r="C11" s="227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228">
        <v>0</v>
      </c>
    </row>
    <row r="12" spans="1:15" x14ac:dyDescent="0.25">
      <c r="A12" s="213" t="s">
        <v>17</v>
      </c>
      <c r="B12" s="213" t="s">
        <v>70</v>
      </c>
      <c r="C12" s="220">
        <v>1130.1146630991491</v>
      </c>
      <c r="D12" s="221">
        <v>1075.7822273732284</v>
      </c>
      <c r="E12" s="221">
        <v>1075.7822273732284</v>
      </c>
      <c r="F12" s="221">
        <v>1075.7822273732284</v>
      </c>
      <c r="G12" s="221">
        <v>1151.8476373895173</v>
      </c>
      <c r="H12" s="221">
        <v>1303.9784574220951</v>
      </c>
      <c r="I12" s="221">
        <v>1271.3789959865426</v>
      </c>
      <c r="J12" s="221">
        <v>1282.2454831317268</v>
      </c>
      <c r="K12" s="221">
        <v>1271.3789959865426</v>
      </c>
      <c r="L12" s="221">
        <v>1162.7141245347013</v>
      </c>
      <c r="M12" s="221">
        <v>988.85033021175536</v>
      </c>
      <c r="N12" s="221">
        <v>1108.3816888087808</v>
      </c>
      <c r="O12" s="222">
        <v>13898.237058690494</v>
      </c>
    </row>
    <row r="13" spans="1:15" ht="13" x14ac:dyDescent="0.3">
      <c r="A13" s="223"/>
      <c r="B13" s="224" t="s">
        <v>25</v>
      </c>
      <c r="C13" s="225">
        <v>90.26445216075831</v>
      </c>
      <c r="D13" s="212">
        <v>85.924815037644748</v>
      </c>
      <c r="E13" s="212">
        <v>85.924815037644748</v>
      </c>
      <c r="F13" s="212">
        <v>85.924815037644748</v>
      </c>
      <c r="G13" s="212">
        <v>92.000307010003553</v>
      </c>
      <c r="H13" s="212">
        <v>104.15129095472093</v>
      </c>
      <c r="I13" s="212">
        <v>101.54750868085284</v>
      </c>
      <c r="J13" s="212">
        <v>102.41543610547569</v>
      </c>
      <c r="K13" s="212">
        <v>101.54750868085284</v>
      </c>
      <c r="L13" s="212">
        <v>92.868234434626174</v>
      </c>
      <c r="M13" s="212">
        <v>78.981395640663322</v>
      </c>
      <c r="N13" s="212">
        <v>88.52859731151284</v>
      </c>
      <c r="O13" s="226">
        <v>1110.0791760924008</v>
      </c>
    </row>
    <row r="14" spans="1:15" ht="13" x14ac:dyDescent="0.3">
      <c r="A14" s="223"/>
      <c r="B14" s="224" t="s">
        <v>26</v>
      </c>
      <c r="C14" s="225">
        <v>7.2523399181728587</v>
      </c>
      <c r="D14" s="212">
        <v>6.903669729799164</v>
      </c>
      <c r="E14" s="212">
        <v>6.903669729799164</v>
      </c>
      <c r="F14" s="212">
        <v>6.903669729799164</v>
      </c>
      <c r="G14" s="212">
        <v>7.3918079935223373</v>
      </c>
      <c r="H14" s="212">
        <v>8.3680845209686847</v>
      </c>
      <c r="I14" s="212">
        <v>8.1588824079444677</v>
      </c>
      <c r="J14" s="212">
        <v>8.2286164456192061</v>
      </c>
      <c r="K14" s="212">
        <v>8.1588824079444677</v>
      </c>
      <c r="L14" s="212">
        <v>7.4615420311970757</v>
      </c>
      <c r="M14" s="212">
        <v>6.3457974284012524</v>
      </c>
      <c r="N14" s="212">
        <v>7.112871842823381</v>
      </c>
      <c r="O14" s="226">
        <v>89.189834185991231</v>
      </c>
    </row>
    <row r="15" spans="1:15" ht="13" x14ac:dyDescent="0.3">
      <c r="A15" s="223"/>
      <c r="B15" s="224" t="s">
        <v>27</v>
      </c>
      <c r="C15" s="225">
        <v>97.516792078931175</v>
      </c>
      <c r="D15" s="212">
        <v>92.828484767443911</v>
      </c>
      <c r="E15" s="212">
        <v>92.828484767443911</v>
      </c>
      <c r="F15" s="212">
        <v>92.828484767443911</v>
      </c>
      <c r="G15" s="212">
        <v>99.392115003525888</v>
      </c>
      <c r="H15" s="212">
        <v>112.51937547568961</v>
      </c>
      <c r="I15" s="212">
        <v>109.70639108879732</v>
      </c>
      <c r="J15" s="212">
        <v>110.6440525510949</v>
      </c>
      <c r="K15" s="212">
        <v>109.70639108879732</v>
      </c>
      <c r="L15" s="212">
        <v>100.32977646582324</v>
      </c>
      <c r="M15" s="212">
        <v>85.327193069064577</v>
      </c>
      <c r="N15" s="212">
        <v>95.641469154336221</v>
      </c>
      <c r="O15" s="226">
        <v>1199.2690102783918</v>
      </c>
    </row>
    <row r="16" spans="1:15" x14ac:dyDescent="0.25">
      <c r="A16" s="223"/>
      <c r="B16" s="224" t="s">
        <v>49</v>
      </c>
      <c r="C16" s="227">
        <v>1039.8502109383908</v>
      </c>
      <c r="D16" s="82">
        <v>989.8574123355836</v>
      </c>
      <c r="E16" s="82">
        <v>989.8574123355836</v>
      </c>
      <c r="F16" s="82">
        <v>989.8574123355836</v>
      </c>
      <c r="G16" s="82">
        <v>1059.8473303795138</v>
      </c>
      <c r="H16" s="82">
        <v>1199.8271664673741</v>
      </c>
      <c r="I16" s="82">
        <v>1169.8314873056897</v>
      </c>
      <c r="J16" s="82">
        <v>1179.8300470262511</v>
      </c>
      <c r="K16" s="82">
        <v>1169.8314873056897</v>
      </c>
      <c r="L16" s="82">
        <v>1069.8458901000752</v>
      </c>
      <c r="M16" s="82">
        <v>909.86893457109204</v>
      </c>
      <c r="N16" s="82">
        <v>1019.853091497268</v>
      </c>
      <c r="O16" s="228">
        <v>12788.157882598094</v>
      </c>
    </row>
    <row r="17" spans="1:15" x14ac:dyDescent="0.25">
      <c r="A17" s="223"/>
      <c r="B17" s="224" t="s">
        <v>87</v>
      </c>
      <c r="C17" s="227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228">
        <v>0</v>
      </c>
    </row>
    <row r="18" spans="1:15" x14ac:dyDescent="0.25">
      <c r="A18" s="223"/>
      <c r="B18" s="224" t="s">
        <v>89</v>
      </c>
      <c r="C18" s="227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228">
        <v>0</v>
      </c>
    </row>
    <row r="19" spans="1:15" x14ac:dyDescent="0.25">
      <c r="A19" s="213" t="s">
        <v>13</v>
      </c>
      <c r="B19" s="213" t="s">
        <v>70</v>
      </c>
      <c r="C19" s="220">
        <v>15778.139334807351</v>
      </c>
      <c r="D19" s="221">
        <v>10497.026582247865</v>
      </c>
      <c r="E19" s="221">
        <v>7954.2685902747799</v>
      </c>
      <c r="F19" s="221">
        <v>5943.9684684157164</v>
      </c>
      <c r="G19" s="221">
        <v>8117.265897452542</v>
      </c>
      <c r="H19" s="221">
        <v>9964.5687121338433</v>
      </c>
      <c r="I19" s="221">
        <v>10323.162787924919</v>
      </c>
      <c r="J19" s="221">
        <v>10214.497916473078</v>
      </c>
      <c r="K19" s="221">
        <v>8867.0535104702467</v>
      </c>
      <c r="L19" s="221">
        <v>7421.8107201607572</v>
      </c>
      <c r="M19" s="221">
        <v>5704.9057512216659</v>
      </c>
      <c r="N19" s="221">
        <v>9377.7784062939008</v>
      </c>
      <c r="O19" s="222">
        <v>110164.44667787667</v>
      </c>
    </row>
    <row r="20" spans="1:15" ht="13" x14ac:dyDescent="0.3">
      <c r="A20" s="223"/>
      <c r="B20" s="224" t="s">
        <v>25</v>
      </c>
      <c r="C20" s="225">
        <v>1260.2306205521236</v>
      </c>
      <c r="D20" s="212">
        <v>838.41789218550366</v>
      </c>
      <c r="E20" s="212">
        <v>635.32287482379797</v>
      </c>
      <c r="F20" s="212">
        <v>474.75630126860324</v>
      </c>
      <c r="G20" s="212">
        <v>648.34178619313843</v>
      </c>
      <c r="H20" s="212">
        <v>795.88944837899362</v>
      </c>
      <c r="I20" s="212">
        <v>824.53105339154172</v>
      </c>
      <c r="J20" s="212">
        <v>815.85177914531414</v>
      </c>
      <c r="K20" s="212">
        <v>708.22877849210272</v>
      </c>
      <c r="L20" s="212">
        <v>592.79443101728612</v>
      </c>
      <c r="M20" s="212">
        <v>455.6618979269042</v>
      </c>
      <c r="N20" s="212">
        <v>749.02136744936979</v>
      </c>
      <c r="O20" s="226">
        <v>8799.0482308246792</v>
      </c>
    </row>
    <row r="21" spans="1:15" ht="13" x14ac:dyDescent="0.3">
      <c r="A21" s="223"/>
      <c r="B21" s="224" t="s">
        <v>26</v>
      </c>
      <c r="C21" s="225">
        <v>101.25382270372107</v>
      </c>
      <c r="D21" s="212">
        <v>67.363080393797901</v>
      </c>
      <c r="E21" s="212">
        <v>51.045315577908973</v>
      </c>
      <c r="F21" s="212">
        <v>38.144518608082251</v>
      </c>
      <c r="G21" s="212">
        <v>52.091326143030059</v>
      </c>
      <c r="H21" s="212">
        <v>63.946112547735694</v>
      </c>
      <c r="I21" s="212">
        <v>66.247335791002087</v>
      </c>
      <c r="J21" s="212">
        <v>65.549995414254681</v>
      </c>
      <c r="K21" s="212">
        <v>56.902974742587048</v>
      </c>
      <c r="L21" s="212">
        <v>47.628347731846759</v>
      </c>
      <c r="M21" s="212">
        <v>36.610369779237992</v>
      </c>
      <c r="N21" s="212">
        <v>60.180474513299785</v>
      </c>
      <c r="O21" s="226">
        <v>706.9636739465044</v>
      </c>
    </row>
    <row r="22" spans="1:15" ht="13" x14ac:dyDescent="0.3">
      <c r="A22" s="223"/>
      <c r="B22" s="224" t="s">
        <v>27</v>
      </c>
      <c r="C22" s="225">
        <v>1361.4844432558446</v>
      </c>
      <c r="D22" s="212">
        <v>905.78097257930153</v>
      </c>
      <c r="E22" s="212">
        <v>686.3681904017069</v>
      </c>
      <c r="F22" s="212">
        <v>512.90081987668555</v>
      </c>
      <c r="G22" s="212">
        <v>700.43311233616851</v>
      </c>
      <c r="H22" s="212">
        <v>859.83556092672927</v>
      </c>
      <c r="I22" s="212">
        <v>890.77838918254383</v>
      </c>
      <c r="J22" s="212">
        <v>881.40177455956882</v>
      </c>
      <c r="K22" s="212">
        <v>765.13175323468977</v>
      </c>
      <c r="L22" s="212">
        <v>640.42277874913293</v>
      </c>
      <c r="M22" s="212">
        <v>492.2722677061422</v>
      </c>
      <c r="N22" s="212">
        <v>809.20184196266962</v>
      </c>
      <c r="O22" s="226">
        <v>9506.0119047711833</v>
      </c>
    </row>
    <row r="23" spans="1:15" x14ac:dyDescent="0.25">
      <c r="A23" s="223"/>
      <c r="B23" s="224" t="s">
        <v>49</v>
      </c>
      <c r="C23" s="227">
        <v>14517.908714255227</v>
      </c>
      <c r="D23" s="82">
        <v>9658.6086900623613</v>
      </c>
      <c r="E23" s="82">
        <v>7318.9457154509819</v>
      </c>
      <c r="F23" s="82">
        <v>5469.2121671471132</v>
      </c>
      <c r="G23" s="82">
        <v>7468.9241112594036</v>
      </c>
      <c r="H23" s="82">
        <v>9168.6792637548497</v>
      </c>
      <c r="I23" s="82">
        <v>9498.6317345333773</v>
      </c>
      <c r="J23" s="82">
        <v>9398.6461373277634</v>
      </c>
      <c r="K23" s="82">
        <v>8158.824731978144</v>
      </c>
      <c r="L23" s="82">
        <v>6829.0162891434711</v>
      </c>
      <c r="M23" s="82">
        <v>5249.2438532947617</v>
      </c>
      <c r="N23" s="82">
        <v>8628.7570388445311</v>
      </c>
      <c r="O23" s="228">
        <v>101365.39844705198</v>
      </c>
    </row>
    <row r="24" spans="1:15" x14ac:dyDescent="0.25">
      <c r="A24" s="223"/>
      <c r="B24" s="224" t="s">
        <v>87</v>
      </c>
      <c r="C24" s="227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228">
        <v>0</v>
      </c>
    </row>
    <row r="25" spans="1:15" x14ac:dyDescent="0.25">
      <c r="A25" s="223"/>
      <c r="B25" s="224" t="s">
        <v>89</v>
      </c>
      <c r="C25" s="227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228">
        <v>0</v>
      </c>
    </row>
    <row r="26" spans="1:15" x14ac:dyDescent="0.25">
      <c r="A26" s="213" t="s">
        <v>15</v>
      </c>
      <c r="B26" s="213" t="s">
        <v>70</v>
      </c>
      <c r="C26" s="220">
        <v>86.931897161473003</v>
      </c>
      <c r="D26" s="221">
        <v>54.332435725920625</v>
      </c>
      <c r="E26" s="221">
        <v>54.332435725920625</v>
      </c>
      <c r="F26" s="221">
        <v>65.198922871104756</v>
      </c>
      <c r="G26" s="221">
        <v>97.798384306657127</v>
      </c>
      <c r="H26" s="221">
        <v>152.13082003257776</v>
      </c>
      <c r="I26" s="221">
        <v>184.73028146813013</v>
      </c>
      <c r="J26" s="221">
        <v>206.46325575849838</v>
      </c>
      <c r="K26" s="221">
        <v>119.53135859702537</v>
      </c>
      <c r="L26" s="221">
        <v>65.198922871104756</v>
      </c>
      <c r="M26" s="221">
        <v>65.198922871104756</v>
      </c>
      <c r="N26" s="221">
        <v>65.198922871104756</v>
      </c>
      <c r="O26" s="222">
        <v>1217.0465602606221</v>
      </c>
    </row>
    <row r="27" spans="1:15" ht="13" x14ac:dyDescent="0.3">
      <c r="A27" s="223"/>
      <c r="B27" s="224" t="s">
        <v>25</v>
      </c>
      <c r="C27" s="225">
        <v>6.9434193969813975</v>
      </c>
      <c r="D27" s="212">
        <v>4.3396371231133699</v>
      </c>
      <c r="E27" s="212">
        <v>4.3396371231133699</v>
      </c>
      <c r="F27" s="212">
        <v>5.2075645477360553</v>
      </c>
      <c r="G27" s="212">
        <v>7.8113468216040758</v>
      </c>
      <c r="H27" s="212">
        <v>12.150983944717439</v>
      </c>
      <c r="I27" s="212">
        <v>14.754766218585473</v>
      </c>
      <c r="J27" s="212">
        <v>16.490621067830801</v>
      </c>
      <c r="K27" s="212">
        <v>9.5472016708494181</v>
      </c>
      <c r="L27" s="212">
        <v>5.2075645477360553</v>
      </c>
      <c r="M27" s="212">
        <v>5.2075645477360553</v>
      </c>
      <c r="N27" s="212">
        <v>5.2075645477360553</v>
      </c>
      <c r="O27" s="226">
        <v>97.207871557739566</v>
      </c>
    </row>
    <row r="28" spans="1:15" ht="13" x14ac:dyDescent="0.3">
      <c r="A28" s="223"/>
      <c r="B28" s="224" t="s">
        <v>26</v>
      </c>
      <c r="C28" s="225">
        <v>0.55787230139791222</v>
      </c>
      <c r="D28" s="212">
        <v>0.34867018837369518</v>
      </c>
      <c r="E28" s="212">
        <v>0.34867018837369518</v>
      </c>
      <c r="F28" s="212">
        <v>0.41840422604843419</v>
      </c>
      <c r="G28" s="212">
        <v>0.62760633907265129</v>
      </c>
      <c r="H28" s="212">
        <v>0.97627652744634641</v>
      </c>
      <c r="I28" s="212">
        <v>1.1854786404705635</v>
      </c>
      <c r="J28" s="212">
        <v>1.3249467158200416</v>
      </c>
      <c r="K28" s="212">
        <v>0.76707441442212931</v>
      </c>
      <c r="L28" s="212">
        <v>0.41840422604843419</v>
      </c>
      <c r="M28" s="212">
        <v>0.41840422604843419</v>
      </c>
      <c r="N28" s="212">
        <v>0.41840422604843419</v>
      </c>
      <c r="O28" s="226">
        <v>7.8102122195707722</v>
      </c>
    </row>
    <row r="29" spans="1:15" ht="13" x14ac:dyDescent="0.3">
      <c r="A29" s="223"/>
      <c r="B29" s="224" t="s">
        <v>27</v>
      </c>
      <c r="C29" s="225">
        <v>7.5012916983793101</v>
      </c>
      <c r="D29" s="212">
        <v>4.6883073114870655</v>
      </c>
      <c r="E29" s="212">
        <v>4.6883073114870655</v>
      </c>
      <c r="F29" s="212">
        <v>5.6259687737844892</v>
      </c>
      <c r="G29" s="212">
        <v>8.4389531606767267</v>
      </c>
      <c r="H29" s="212">
        <v>13.127260472163785</v>
      </c>
      <c r="I29" s="212">
        <v>15.940244859056037</v>
      </c>
      <c r="J29" s="212">
        <v>17.815567783650842</v>
      </c>
      <c r="K29" s="212">
        <v>10.314276085271548</v>
      </c>
      <c r="L29" s="212">
        <v>5.6259687737844892</v>
      </c>
      <c r="M29" s="212">
        <v>5.6259687737844892</v>
      </c>
      <c r="N29" s="212">
        <v>5.6259687737844892</v>
      </c>
      <c r="O29" s="226">
        <v>105.01808377731035</v>
      </c>
    </row>
    <row r="30" spans="1:15" x14ac:dyDescent="0.25">
      <c r="A30" s="223"/>
      <c r="B30" s="224" t="s">
        <v>49</v>
      </c>
      <c r="C30" s="227">
        <v>79.988477764491606</v>
      </c>
      <c r="D30" s="82">
        <v>49.992798602807255</v>
      </c>
      <c r="E30" s="82">
        <v>49.992798602807255</v>
      </c>
      <c r="F30" s="82">
        <v>59.991358323368701</v>
      </c>
      <c r="G30" s="82">
        <v>89.987037485053051</v>
      </c>
      <c r="H30" s="82">
        <v>139.97983608786032</v>
      </c>
      <c r="I30" s="82">
        <v>169.97551524954466</v>
      </c>
      <c r="J30" s="82">
        <v>189.97263469066758</v>
      </c>
      <c r="K30" s="82">
        <v>109.98415692617596</v>
      </c>
      <c r="L30" s="82">
        <v>59.991358323368701</v>
      </c>
      <c r="M30" s="82">
        <v>59.991358323368701</v>
      </c>
      <c r="N30" s="82">
        <v>59.991358323368701</v>
      </c>
      <c r="O30" s="228">
        <v>1119.8386887028826</v>
      </c>
    </row>
    <row r="31" spans="1:15" x14ac:dyDescent="0.25">
      <c r="A31" s="223"/>
      <c r="B31" s="224" t="s">
        <v>87</v>
      </c>
      <c r="C31" s="227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228">
        <v>0</v>
      </c>
    </row>
    <row r="32" spans="1:15" x14ac:dyDescent="0.25">
      <c r="A32" s="223"/>
      <c r="B32" s="224" t="s">
        <v>89</v>
      </c>
      <c r="C32" s="227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228">
        <v>0</v>
      </c>
    </row>
    <row r="33" spans="1:15" x14ac:dyDescent="0.25">
      <c r="A33" s="213" t="s">
        <v>16</v>
      </c>
      <c r="B33" s="213" t="s">
        <v>70</v>
      </c>
      <c r="C33" s="220">
        <v>43.465948580736502</v>
      </c>
      <c r="D33" s="221">
        <v>32.599461435552378</v>
      </c>
      <c r="E33" s="221">
        <v>32.599461435552378</v>
      </c>
      <c r="F33" s="221">
        <v>21.732974290368251</v>
      </c>
      <c r="G33" s="221">
        <v>43.465948580736502</v>
      </c>
      <c r="H33" s="221">
        <v>43.465948580736502</v>
      </c>
      <c r="I33" s="221">
        <v>65.198922871104756</v>
      </c>
      <c r="J33" s="221">
        <v>65.198922871104756</v>
      </c>
      <c r="K33" s="221">
        <v>32.599461435552378</v>
      </c>
      <c r="L33" s="221">
        <v>65.198922871104756</v>
      </c>
      <c r="M33" s="221">
        <v>10.866487145184125</v>
      </c>
      <c r="N33" s="221">
        <v>32.599461435552378</v>
      </c>
      <c r="O33" s="222">
        <v>488.99192153328562</v>
      </c>
    </row>
    <row r="34" spans="1:15" ht="13" x14ac:dyDescent="0.3">
      <c r="A34" s="223"/>
      <c r="B34" s="224" t="s">
        <v>25</v>
      </c>
      <c r="C34" s="225">
        <v>3.4717096984906988</v>
      </c>
      <c r="D34" s="212">
        <v>2.6037822738680276</v>
      </c>
      <c r="E34" s="212">
        <v>2.6037822738680276</v>
      </c>
      <c r="F34" s="212">
        <v>1.7358548492453494</v>
      </c>
      <c r="G34" s="212">
        <v>3.4717096984906988</v>
      </c>
      <c r="H34" s="212">
        <v>3.4717096984906988</v>
      </c>
      <c r="I34" s="212">
        <v>5.2075645477360553</v>
      </c>
      <c r="J34" s="212">
        <v>5.2075645477360553</v>
      </c>
      <c r="K34" s="212">
        <v>2.6037822738680276</v>
      </c>
      <c r="L34" s="212">
        <v>5.2075645477360553</v>
      </c>
      <c r="M34" s="212">
        <v>0.86792742462267469</v>
      </c>
      <c r="N34" s="212">
        <v>2.6037822738680276</v>
      </c>
      <c r="O34" s="226">
        <v>39.0567341080204</v>
      </c>
    </row>
    <row r="35" spans="1:15" ht="13" x14ac:dyDescent="0.3">
      <c r="A35" s="223"/>
      <c r="B35" s="224" t="s">
        <v>26</v>
      </c>
      <c r="C35" s="225">
        <v>0.27893615069895611</v>
      </c>
      <c r="D35" s="212">
        <v>0.2092021130242171</v>
      </c>
      <c r="E35" s="212">
        <v>0.2092021130242171</v>
      </c>
      <c r="F35" s="212">
        <v>0.13946807534947805</v>
      </c>
      <c r="G35" s="212">
        <v>0.27893615069895611</v>
      </c>
      <c r="H35" s="212">
        <v>0.27893615069895611</v>
      </c>
      <c r="I35" s="212">
        <v>0.41840422604843419</v>
      </c>
      <c r="J35" s="212">
        <v>0.41840422604843419</v>
      </c>
      <c r="K35" s="212">
        <v>0.2092021130242171</v>
      </c>
      <c r="L35" s="212">
        <v>0.41840422604843419</v>
      </c>
      <c r="M35" s="212">
        <v>6.9734037674739027E-2</v>
      </c>
      <c r="N35" s="212">
        <v>0.2092021130242171</v>
      </c>
      <c r="O35" s="226">
        <v>3.1380316953632561</v>
      </c>
    </row>
    <row r="36" spans="1:15" ht="13" x14ac:dyDescent="0.3">
      <c r="A36" s="223"/>
      <c r="B36" s="224" t="s">
        <v>27</v>
      </c>
      <c r="C36" s="225">
        <v>3.750645849189655</v>
      </c>
      <c r="D36" s="212">
        <v>2.8129843868922446</v>
      </c>
      <c r="E36" s="212">
        <v>2.8129843868922446</v>
      </c>
      <c r="F36" s="212">
        <v>1.8753229245948275</v>
      </c>
      <c r="G36" s="212">
        <v>3.750645849189655</v>
      </c>
      <c r="H36" s="212">
        <v>3.750645849189655</v>
      </c>
      <c r="I36" s="212">
        <v>5.6259687737844892</v>
      </c>
      <c r="J36" s="212">
        <v>5.6259687737844892</v>
      </c>
      <c r="K36" s="212">
        <v>2.8129843868922446</v>
      </c>
      <c r="L36" s="212">
        <v>5.6259687737844892</v>
      </c>
      <c r="M36" s="212">
        <v>0.93766146229741376</v>
      </c>
      <c r="N36" s="212">
        <v>2.8129843868922446</v>
      </c>
      <c r="O36" s="226">
        <v>42.194765803383653</v>
      </c>
    </row>
    <row r="37" spans="1:15" x14ac:dyDescent="0.25">
      <c r="A37" s="223"/>
      <c r="B37" s="224" t="s">
        <v>49</v>
      </c>
      <c r="C37" s="227">
        <v>39.994238882245803</v>
      </c>
      <c r="D37" s="82">
        <v>29.99567916168435</v>
      </c>
      <c r="E37" s="82">
        <v>29.99567916168435</v>
      </c>
      <c r="F37" s="82">
        <v>19.997119441122901</v>
      </c>
      <c r="G37" s="82">
        <v>39.994238882245803</v>
      </c>
      <c r="H37" s="82">
        <v>39.994238882245803</v>
      </c>
      <c r="I37" s="82">
        <v>59.991358323368701</v>
      </c>
      <c r="J37" s="82">
        <v>59.991358323368701</v>
      </c>
      <c r="K37" s="82">
        <v>29.99567916168435</v>
      </c>
      <c r="L37" s="82">
        <v>59.991358323368701</v>
      </c>
      <c r="M37" s="82">
        <v>9.9985597205614507</v>
      </c>
      <c r="N37" s="82">
        <v>29.99567916168435</v>
      </c>
      <c r="O37" s="228">
        <v>449.93518742526521</v>
      </c>
    </row>
    <row r="38" spans="1:15" x14ac:dyDescent="0.25">
      <c r="A38" s="223"/>
      <c r="B38" s="224" t="s">
        <v>87</v>
      </c>
      <c r="C38" s="227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228">
        <v>0</v>
      </c>
    </row>
    <row r="39" spans="1:15" x14ac:dyDescent="0.25">
      <c r="A39" s="223"/>
      <c r="B39" s="224" t="s">
        <v>89</v>
      </c>
      <c r="C39" s="227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228">
        <v>0</v>
      </c>
    </row>
    <row r="40" spans="1:15" x14ac:dyDescent="0.25">
      <c r="A40" s="213" t="s">
        <v>19</v>
      </c>
      <c r="B40" s="213" t="s">
        <v>70</v>
      </c>
      <c r="C40" s="220">
        <v>706.32166443696815</v>
      </c>
      <c r="D40" s="221">
        <v>706.32166443696815</v>
      </c>
      <c r="E40" s="221">
        <v>695.45517729178403</v>
      </c>
      <c r="F40" s="221">
        <v>706.32166443696815</v>
      </c>
      <c r="G40" s="221">
        <v>554.19084440439042</v>
      </c>
      <c r="H40" s="221">
        <v>641.12274156586341</v>
      </c>
      <c r="I40" s="221">
        <v>728.0546387273364</v>
      </c>
      <c r="J40" s="221">
        <v>760.65410016288877</v>
      </c>
      <c r="K40" s="221">
        <v>782.38707445325701</v>
      </c>
      <c r="L40" s="221">
        <v>793.25356159844114</v>
      </c>
      <c r="M40" s="221">
        <v>782.38707445325701</v>
      </c>
      <c r="N40" s="221">
        <v>706.32166443696815</v>
      </c>
      <c r="O40" s="222">
        <v>8562.7918704050899</v>
      </c>
    </row>
    <row r="41" spans="1:15" ht="13" x14ac:dyDescent="0.3">
      <c r="A41" s="223"/>
      <c r="B41" s="224" t="s">
        <v>25</v>
      </c>
      <c r="C41" s="225">
        <v>56.415282600473802</v>
      </c>
      <c r="D41" s="212">
        <v>56.415282600473802</v>
      </c>
      <c r="E41" s="212">
        <v>55.54735517585118</v>
      </c>
      <c r="F41" s="212">
        <v>56.415282600473802</v>
      </c>
      <c r="G41" s="212">
        <v>44.26429865575642</v>
      </c>
      <c r="H41" s="212">
        <v>51.207718052737846</v>
      </c>
      <c r="I41" s="212">
        <v>58.151137449719158</v>
      </c>
      <c r="J41" s="212">
        <v>60.75491972358725</v>
      </c>
      <c r="K41" s="212">
        <v>62.490774572832606</v>
      </c>
      <c r="L41" s="212">
        <v>63.358701997455228</v>
      </c>
      <c r="M41" s="212">
        <v>62.490774572832606</v>
      </c>
      <c r="N41" s="212">
        <v>56.415282600473802</v>
      </c>
      <c r="O41" s="226">
        <v>683.9268106026675</v>
      </c>
    </row>
    <row r="42" spans="1:15" ht="13" x14ac:dyDescent="0.3">
      <c r="A42" s="223"/>
      <c r="B42" s="224" t="s">
        <v>26</v>
      </c>
      <c r="C42" s="225">
        <v>4.532712448858037</v>
      </c>
      <c r="D42" s="212">
        <v>4.532712448858037</v>
      </c>
      <c r="E42" s="212">
        <v>4.4629784111832977</v>
      </c>
      <c r="F42" s="212">
        <v>4.532712448858037</v>
      </c>
      <c r="G42" s="212">
        <v>3.5564359214116905</v>
      </c>
      <c r="H42" s="212">
        <v>4.1143082228096031</v>
      </c>
      <c r="I42" s="212">
        <v>4.6721805242075147</v>
      </c>
      <c r="J42" s="212">
        <v>4.8813826372317317</v>
      </c>
      <c r="K42" s="212">
        <v>5.0208507125812103</v>
      </c>
      <c r="L42" s="212">
        <v>5.0905847502559487</v>
      </c>
      <c r="M42" s="212">
        <v>5.0208507125812103</v>
      </c>
      <c r="N42" s="212">
        <v>4.532712448858037</v>
      </c>
      <c r="O42" s="226">
        <v>54.950421687694352</v>
      </c>
    </row>
    <row r="43" spans="1:15" ht="13" x14ac:dyDescent="0.3">
      <c r="A43" s="223"/>
      <c r="B43" s="224" t="s">
        <v>27</v>
      </c>
      <c r="C43" s="225">
        <v>60.947995049331837</v>
      </c>
      <c r="D43" s="212">
        <v>60.947995049331837</v>
      </c>
      <c r="E43" s="212">
        <v>60.010333587034481</v>
      </c>
      <c r="F43" s="212">
        <v>60.947995049331837</v>
      </c>
      <c r="G43" s="212">
        <v>47.82073457716811</v>
      </c>
      <c r="H43" s="212">
        <v>55.322026275547451</v>
      </c>
      <c r="I43" s="212">
        <v>62.82331797392667</v>
      </c>
      <c r="J43" s="212">
        <v>65.636302360818988</v>
      </c>
      <c r="K43" s="212">
        <v>67.511625285413814</v>
      </c>
      <c r="L43" s="212">
        <v>68.44928674771117</v>
      </c>
      <c r="M43" s="212">
        <v>67.511625285413814</v>
      </c>
      <c r="N43" s="212">
        <v>60.947995049331837</v>
      </c>
      <c r="O43" s="226">
        <v>738.87723229036192</v>
      </c>
    </row>
    <row r="44" spans="1:15" x14ac:dyDescent="0.25">
      <c r="A44" s="223"/>
      <c r="B44" s="224" t="s">
        <v>49</v>
      </c>
      <c r="C44" s="227">
        <v>649.90638183649435</v>
      </c>
      <c r="D44" s="82">
        <v>649.90638183649435</v>
      </c>
      <c r="E44" s="82">
        <v>639.90782211593285</v>
      </c>
      <c r="F44" s="82">
        <v>649.90638183649435</v>
      </c>
      <c r="G44" s="82">
        <v>509.926545748634</v>
      </c>
      <c r="H44" s="82">
        <v>589.91502351312556</v>
      </c>
      <c r="I44" s="82">
        <v>669.90350127761724</v>
      </c>
      <c r="J44" s="82">
        <v>699.89918043930152</v>
      </c>
      <c r="K44" s="82">
        <v>719.89629988042441</v>
      </c>
      <c r="L44" s="82">
        <v>729.89485960098591</v>
      </c>
      <c r="M44" s="82">
        <v>719.89629988042441</v>
      </c>
      <c r="N44" s="82">
        <v>649.90638183649435</v>
      </c>
      <c r="O44" s="228">
        <v>7878.8650598024233</v>
      </c>
    </row>
    <row r="45" spans="1:15" x14ac:dyDescent="0.25">
      <c r="A45" s="223"/>
      <c r="B45" s="224" t="s">
        <v>87</v>
      </c>
      <c r="C45" s="227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228">
        <v>0</v>
      </c>
    </row>
    <row r="46" spans="1:15" x14ac:dyDescent="0.25">
      <c r="A46" s="223"/>
      <c r="B46" s="224" t="s">
        <v>89</v>
      </c>
      <c r="C46" s="227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228">
        <v>0</v>
      </c>
    </row>
    <row r="47" spans="1:15" x14ac:dyDescent="0.25">
      <c r="A47" s="213" t="s">
        <v>8</v>
      </c>
      <c r="B47" s="213" t="s">
        <v>70</v>
      </c>
      <c r="C47" s="220">
        <v>1021.4497916473077</v>
      </c>
      <c r="D47" s="221">
        <v>673.72220300141578</v>
      </c>
      <c r="E47" s="221">
        <v>651.98922871104753</v>
      </c>
      <c r="F47" s="221">
        <v>999.71681735693949</v>
      </c>
      <c r="G47" s="221">
        <v>1282.2454831317268</v>
      </c>
      <c r="H47" s="221">
        <v>1553.90766176133</v>
      </c>
      <c r="I47" s="221">
        <v>1640.839558922803</v>
      </c>
      <c r="J47" s="221">
        <v>1706.0384817939077</v>
      </c>
      <c r="K47" s="221">
        <v>1586.5071231968823</v>
      </c>
      <c r="L47" s="221">
        <v>1260.5125088413586</v>
      </c>
      <c r="M47" s="221">
        <v>673.72220300141578</v>
      </c>
      <c r="N47" s="221">
        <v>836.71951017917763</v>
      </c>
      <c r="O47" s="222">
        <v>13887.370571545311</v>
      </c>
    </row>
    <row r="48" spans="1:15" ht="13" x14ac:dyDescent="0.3">
      <c r="A48" s="223"/>
      <c r="B48" s="224" t="s">
        <v>25</v>
      </c>
      <c r="C48" s="225">
        <v>81.585177914531414</v>
      </c>
      <c r="D48" s="212">
        <v>53.811500326605824</v>
      </c>
      <c r="E48" s="212">
        <v>52.075645477360467</v>
      </c>
      <c r="F48" s="212">
        <v>79.849323065286057</v>
      </c>
      <c r="G48" s="212">
        <v>102.41543610547569</v>
      </c>
      <c r="H48" s="212">
        <v>124.11362172104259</v>
      </c>
      <c r="I48" s="212">
        <v>131.05704111802402</v>
      </c>
      <c r="J48" s="212">
        <v>136.26460566575997</v>
      </c>
      <c r="K48" s="212">
        <v>126.71740399491046</v>
      </c>
      <c r="L48" s="212">
        <v>100.67958125623022</v>
      </c>
      <c r="M48" s="212">
        <v>53.811500326605824</v>
      </c>
      <c r="N48" s="212">
        <v>66.830411695945941</v>
      </c>
      <c r="O48" s="226">
        <v>1109.2112486677786</v>
      </c>
    </row>
    <row r="49" spans="1:15" ht="13" x14ac:dyDescent="0.3">
      <c r="A49" s="223"/>
      <c r="B49" s="224" t="s">
        <v>26</v>
      </c>
      <c r="C49" s="225">
        <v>6.5549995414254694</v>
      </c>
      <c r="D49" s="212">
        <v>4.3235103358338201</v>
      </c>
      <c r="E49" s="212">
        <v>4.1840422604843424</v>
      </c>
      <c r="F49" s="212">
        <v>6.4155314660759908</v>
      </c>
      <c r="G49" s="212">
        <v>8.2286164456192061</v>
      </c>
      <c r="H49" s="212">
        <v>9.9719673874876804</v>
      </c>
      <c r="I49" s="212">
        <v>10.529839688885593</v>
      </c>
      <c r="J49" s="212">
        <v>10.948243914934027</v>
      </c>
      <c r="K49" s="212">
        <v>10.181169500511897</v>
      </c>
      <c r="L49" s="212">
        <v>8.0891483702697276</v>
      </c>
      <c r="M49" s="212">
        <v>4.3235103358338201</v>
      </c>
      <c r="N49" s="212">
        <v>5.369520900954905</v>
      </c>
      <c r="O49" s="226">
        <v>89.120100148316482</v>
      </c>
    </row>
    <row r="50" spans="1:15" ht="13" x14ac:dyDescent="0.3">
      <c r="A50" s="223"/>
      <c r="B50" s="224" t="s">
        <v>27</v>
      </c>
      <c r="C50" s="225">
        <v>88.140177455956888</v>
      </c>
      <c r="D50" s="212">
        <v>58.13501066243964</v>
      </c>
      <c r="E50" s="212">
        <v>56.259687737844807</v>
      </c>
      <c r="F50" s="212">
        <v>86.264854531362047</v>
      </c>
      <c r="G50" s="212">
        <v>110.6440525510949</v>
      </c>
      <c r="H50" s="212">
        <v>134.08558910853026</v>
      </c>
      <c r="I50" s="212">
        <v>141.58688080690962</v>
      </c>
      <c r="J50" s="212">
        <v>147.21284958069401</v>
      </c>
      <c r="K50" s="212">
        <v>136.89857349542234</v>
      </c>
      <c r="L50" s="212">
        <v>108.76872962649995</v>
      </c>
      <c r="M50" s="212">
        <v>58.13501066243964</v>
      </c>
      <c r="N50" s="212">
        <v>72.199932596900851</v>
      </c>
      <c r="O50" s="226">
        <v>1198.3313488160948</v>
      </c>
    </row>
    <row r="51" spans="1:15" x14ac:dyDescent="0.25">
      <c r="A51" s="223"/>
      <c r="B51" s="224" t="s">
        <v>49</v>
      </c>
      <c r="C51" s="227">
        <v>939.86461373277632</v>
      </c>
      <c r="D51" s="82">
        <v>619.91070267480995</v>
      </c>
      <c r="E51" s="82">
        <v>599.91358323368706</v>
      </c>
      <c r="F51" s="82">
        <v>919.86749429165343</v>
      </c>
      <c r="G51" s="82">
        <v>1179.8300470262511</v>
      </c>
      <c r="H51" s="82">
        <v>1429.7940400402874</v>
      </c>
      <c r="I51" s="82">
        <v>1509.782517804779</v>
      </c>
      <c r="J51" s="82">
        <v>1569.7738761281478</v>
      </c>
      <c r="K51" s="82">
        <v>1459.7897192019718</v>
      </c>
      <c r="L51" s="82">
        <v>1159.8329275851283</v>
      </c>
      <c r="M51" s="82">
        <v>619.91070267480995</v>
      </c>
      <c r="N51" s="82">
        <v>769.88909848323169</v>
      </c>
      <c r="O51" s="228">
        <v>12778.159322877535</v>
      </c>
    </row>
    <row r="52" spans="1:15" x14ac:dyDescent="0.25">
      <c r="A52" s="223"/>
      <c r="B52" s="224" t="s">
        <v>87</v>
      </c>
      <c r="C52" s="227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228">
        <v>0</v>
      </c>
    </row>
    <row r="53" spans="1:15" x14ac:dyDescent="0.25">
      <c r="A53" s="223"/>
      <c r="B53" s="224" t="s">
        <v>89</v>
      </c>
      <c r="C53" s="227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228">
        <v>0</v>
      </c>
    </row>
    <row r="54" spans="1:15" x14ac:dyDescent="0.25">
      <c r="A54" s="213" t="s">
        <v>21</v>
      </c>
      <c r="B54" s="213" t="s">
        <v>70</v>
      </c>
      <c r="C54" s="220">
        <v>35337.816196138774</v>
      </c>
      <c r="D54" s="221">
        <v>25405.846945440484</v>
      </c>
      <c r="E54" s="221">
        <v>24080.135513728022</v>
      </c>
      <c r="F54" s="221">
        <v>30176.234802176317</v>
      </c>
      <c r="G54" s="221">
        <v>35261.750786122488</v>
      </c>
      <c r="H54" s="221">
        <v>44335.26755235123</v>
      </c>
      <c r="I54" s="221">
        <v>45085.055165368933</v>
      </c>
      <c r="J54" s="221">
        <v>45106.788139659307</v>
      </c>
      <c r="K54" s="221">
        <v>41933.773893265541</v>
      </c>
      <c r="L54" s="221">
        <v>37261.184420836369</v>
      </c>
      <c r="M54" s="221">
        <v>24123.601462308758</v>
      </c>
      <c r="N54" s="221">
        <v>27916.005475978018</v>
      </c>
      <c r="O54" s="222">
        <v>416023.46035337431</v>
      </c>
    </row>
    <row r="55" spans="1:15" ht="13" x14ac:dyDescent="0.3">
      <c r="A55" s="223"/>
      <c r="B55" s="224" t="s">
        <v>25</v>
      </c>
      <c r="C55" s="225">
        <v>2822.4999848729349</v>
      </c>
      <c r="D55" s="212">
        <v>2029.2143187678121</v>
      </c>
      <c r="E55" s="212">
        <v>1923.3271729638473</v>
      </c>
      <c r="F55" s="212">
        <v>2410.2344581771686</v>
      </c>
      <c r="G55" s="212">
        <v>2816.4244929005799</v>
      </c>
      <c r="H55" s="212">
        <v>3541.14389246051</v>
      </c>
      <c r="I55" s="212">
        <v>3601.0308847594715</v>
      </c>
      <c r="J55" s="212">
        <v>3602.7667396087272</v>
      </c>
      <c r="K55" s="212">
        <v>3349.3319316189009</v>
      </c>
      <c r="L55" s="212">
        <v>2976.1231390311514</v>
      </c>
      <c r="M55" s="212">
        <v>1926.7988826623368</v>
      </c>
      <c r="N55" s="212">
        <v>2229.7055538556524</v>
      </c>
      <c r="O55" s="226">
        <v>33228.601451679089</v>
      </c>
    </row>
    <row r="56" spans="1:15" ht="13" x14ac:dyDescent="0.3">
      <c r="A56" s="223"/>
      <c r="B56" s="224" t="s">
        <v>26</v>
      </c>
      <c r="C56" s="225">
        <v>226.77509051825132</v>
      </c>
      <c r="D56" s="212">
        <v>163.03818008353986</v>
      </c>
      <c r="E56" s="212">
        <v>154.53062748722169</v>
      </c>
      <c r="F56" s="212">
        <v>193.65142262275029</v>
      </c>
      <c r="G56" s="212">
        <v>226.28695225452813</v>
      </c>
      <c r="H56" s="212">
        <v>284.51487371293524</v>
      </c>
      <c r="I56" s="212">
        <v>289.32652231249222</v>
      </c>
      <c r="J56" s="212">
        <v>289.46599038784171</v>
      </c>
      <c r="K56" s="212">
        <v>269.10365138681794</v>
      </c>
      <c r="L56" s="212">
        <v>239.11801518668014</v>
      </c>
      <c r="M56" s="212">
        <v>154.80956363792066</v>
      </c>
      <c r="N56" s="212">
        <v>179.14674278640456</v>
      </c>
      <c r="O56" s="226">
        <v>2669.7676323773835</v>
      </c>
    </row>
    <row r="57" spans="1:15" ht="13" x14ac:dyDescent="0.3">
      <c r="A57" s="223"/>
      <c r="B57" s="224" t="s">
        <v>27</v>
      </c>
      <c r="C57" s="225">
        <v>3049.275075391186</v>
      </c>
      <c r="D57" s="212">
        <v>2192.2524988513519</v>
      </c>
      <c r="E57" s="212">
        <v>2077.8578004510691</v>
      </c>
      <c r="F57" s="212">
        <v>2603.8858807999191</v>
      </c>
      <c r="G57" s="212">
        <v>3042.7114451551079</v>
      </c>
      <c r="H57" s="212">
        <v>3825.6587661734452</v>
      </c>
      <c r="I57" s="212">
        <v>3890.3574070719637</v>
      </c>
      <c r="J57" s="212">
        <v>3892.2327299965691</v>
      </c>
      <c r="K57" s="212">
        <v>3618.4355830057189</v>
      </c>
      <c r="L57" s="212">
        <v>3215.2411542178315</v>
      </c>
      <c r="M57" s="212">
        <v>2081.6084463002576</v>
      </c>
      <c r="N57" s="212">
        <v>2408.8522966420569</v>
      </c>
      <c r="O57" s="226">
        <v>35898.369084056474</v>
      </c>
    </row>
    <row r="58" spans="1:15" x14ac:dyDescent="0.25">
      <c r="A58" s="223"/>
      <c r="B58" s="224" t="s">
        <v>49</v>
      </c>
      <c r="C58" s="227">
        <v>32515.316211265839</v>
      </c>
      <c r="D58" s="82">
        <v>23376.632626672672</v>
      </c>
      <c r="E58" s="82">
        <v>22156.808340764175</v>
      </c>
      <c r="F58" s="82">
        <v>27766.000343999149</v>
      </c>
      <c r="G58" s="82">
        <v>32445.326293221908</v>
      </c>
      <c r="H58" s="82">
        <v>40794.12365989072</v>
      </c>
      <c r="I58" s="82">
        <v>41484.024280609461</v>
      </c>
      <c r="J58" s="82">
        <v>41504.02140005058</v>
      </c>
      <c r="K58" s="82">
        <v>38584.44196164664</v>
      </c>
      <c r="L58" s="82">
        <v>34285.061281805218</v>
      </c>
      <c r="M58" s="82">
        <v>22196.802579646421</v>
      </c>
      <c r="N58" s="82">
        <v>25686.299922122365</v>
      </c>
      <c r="O58" s="228">
        <v>382794.85890169517</v>
      </c>
    </row>
    <row r="59" spans="1:15" x14ac:dyDescent="0.25">
      <c r="A59" s="223"/>
      <c r="B59" s="224" t="s">
        <v>87</v>
      </c>
      <c r="C59" s="227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228">
        <v>0</v>
      </c>
    </row>
    <row r="60" spans="1:15" x14ac:dyDescent="0.25">
      <c r="A60" s="223"/>
      <c r="B60" s="224" t="s">
        <v>89</v>
      </c>
      <c r="C60" s="227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228">
        <v>0</v>
      </c>
    </row>
    <row r="61" spans="1:15" x14ac:dyDescent="0.25">
      <c r="A61" s="213" t="s">
        <v>22</v>
      </c>
      <c r="B61" s="213" t="s">
        <v>70</v>
      </c>
      <c r="C61" s="220">
        <v>35924.60650197872</v>
      </c>
      <c r="D61" s="221">
        <v>28372.397936075751</v>
      </c>
      <c r="E61" s="221">
        <v>25014.653408213857</v>
      </c>
      <c r="F61" s="221">
        <v>27014.087042927735</v>
      </c>
      <c r="G61" s="221">
        <v>32273.466821196853</v>
      </c>
      <c r="H61" s="221">
        <v>37847.974726676308</v>
      </c>
      <c r="I61" s="221">
        <v>38141.369879596277</v>
      </c>
      <c r="J61" s="221">
        <v>38836.825056888061</v>
      </c>
      <c r="K61" s="221">
        <v>34642.36101884699</v>
      </c>
      <c r="L61" s="221">
        <v>30350.098596499261</v>
      </c>
      <c r="M61" s="221">
        <v>25416.713432585668</v>
      </c>
      <c r="N61" s="221">
        <v>27383.547605863994</v>
      </c>
      <c r="O61" s="222">
        <v>381218.10202734941</v>
      </c>
    </row>
    <row r="62" spans="1:15" ht="13" x14ac:dyDescent="0.3">
      <c r="A62" s="223"/>
      <c r="B62" s="224" t="s">
        <v>25</v>
      </c>
      <c r="C62" s="225">
        <v>2869.3680658025623</v>
      </c>
      <c r="D62" s="212">
        <v>2266.1585056898039</v>
      </c>
      <c r="E62" s="212">
        <v>1997.9689314813986</v>
      </c>
      <c r="F62" s="212">
        <v>2157.66757761197</v>
      </c>
      <c r="G62" s="212">
        <v>2577.7444511293434</v>
      </c>
      <c r="H62" s="212">
        <v>3022.9912199607716</v>
      </c>
      <c r="I62" s="212">
        <v>3046.4252604255889</v>
      </c>
      <c r="J62" s="212">
        <v>3101.9726156014367</v>
      </c>
      <c r="K62" s="212">
        <v>2766.9526296970871</v>
      </c>
      <c r="L62" s="212">
        <v>2424.1212969711305</v>
      </c>
      <c r="M62" s="212">
        <v>2030.0822461924363</v>
      </c>
      <c r="N62" s="212">
        <v>2187.1771100491387</v>
      </c>
      <c r="O62" s="226">
        <v>30448.629910612668</v>
      </c>
    </row>
    <row r="63" spans="1:15" ht="13" x14ac:dyDescent="0.3">
      <c r="A63" s="223"/>
      <c r="B63" s="224" t="s">
        <v>26</v>
      </c>
      <c r="C63" s="225">
        <v>230.54072855268726</v>
      </c>
      <c r="D63" s="212">
        <v>182.07557236874359</v>
      </c>
      <c r="E63" s="212">
        <v>160.52775472724923</v>
      </c>
      <c r="F63" s="212">
        <v>173.35881765940124</v>
      </c>
      <c r="G63" s="212">
        <v>207.11009189397492</v>
      </c>
      <c r="H63" s="212">
        <v>242.88365322111602</v>
      </c>
      <c r="I63" s="212">
        <v>244.76647223833399</v>
      </c>
      <c r="J63" s="212">
        <v>249.2294506495173</v>
      </c>
      <c r="K63" s="212">
        <v>222.312112107068</v>
      </c>
      <c r="L63" s="212">
        <v>194.76716722554613</v>
      </c>
      <c r="M63" s="212">
        <v>163.10791412121461</v>
      </c>
      <c r="N63" s="212">
        <v>175.72977494034237</v>
      </c>
      <c r="O63" s="226">
        <v>2446.4095097051945</v>
      </c>
    </row>
    <row r="64" spans="1:15" ht="13" x14ac:dyDescent="0.3">
      <c r="A64" s="223"/>
      <c r="B64" s="224" t="s">
        <v>27</v>
      </c>
      <c r="C64" s="225">
        <v>3099.9087943552495</v>
      </c>
      <c r="D64" s="212">
        <v>2448.2340780585473</v>
      </c>
      <c r="E64" s="212">
        <v>2158.496686208648</v>
      </c>
      <c r="F64" s="212">
        <v>2331.0263952713713</v>
      </c>
      <c r="G64" s="212">
        <v>2784.8545430233185</v>
      </c>
      <c r="H64" s="212">
        <v>3265.8748731818878</v>
      </c>
      <c r="I64" s="212">
        <v>3291.1917326639227</v>
      </c>
      <c r="J64" s="212">
        <v>3351.202066250954</v>
      </c>
      <c r="K64" s="212">
        <v>2989.2647418041552</v>
      </c>
      <c r="L64" s="212">
        <v>2618.8884641966765</v>
      </c>
      <c r="M64" s="212">
        <v>2193.1901603136507</v>
      </c>
      <c r="N64" s="212">
        <v>2362.9068849894811</v>
      </c>
      <c r="O64" s="226">
        <v>32895.039420317858</v>
      </c>
    </row>
    <row r="65" spans="1:15" x14ac:dyDescent="0.25">
      <c r="A65" s="223"/>
      <c r="B65" s="224" t="s">
        <v>49</v>
      </c>
      <c r="C65" s="227">
        <v>33055.238436176158</v>
      </c>
      <c r="D65" s="82">
        <v>26106.239430385947</v>
      </c>
      <c r="E65" s="82">
        <v>23016.684476732458</v>
      </c>
      <c r="F65" s="82">
        <v>24856.419465315765</v>
      </c>
      <c r="G65" s="82">
        <v>29695.722370067509</v>
      </c>
      <c r="H65" s="82">
        <v>34824.983506715536</v>
      </c>
      <c r="I65" s="82">
        <v>35094.944619170688</v>
      </c>
      <c r="J65" s="82">
        <v>35734.852441286625</v>
      </c>
      <c r="K65" s="82">
        <v>31875.408389149903</v>
      </c>
      <c r="L65" s="82">
        <v>27925.977299528131</v>
      </c>
      <c r="M65" s="82">
        <v>23386.631186393231</v>
      </c>
      <c r="N65" s="82">
        <v>25196.370495814856</v>
      </c>
      <c r="O65" s="228">
        <v>350769.47211673675</v>
      </c>
    </row>
    <row r="66" spans="1:15" x14ac:dyDescent="0.25">
      <c r="A66" s="223"/>
      <c r="B66" s="224" t="s">
        <v>87</v>
      </c>
      <c r="C66" s="227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228">
        <v>0</v>
      </c>
    </row>
    <row r="67" spans="1:15" x14ac:dyDescent="0.25">
      <c r="A67" s="223"/>
      <c r="B67" s="224" t="s">
        <v>89</v>
      </c>
      <c r="C67" s="227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228">
        <v>0</v>
      </c>
    </row>
    <row r="68" spans="1:15" x14ac:dyDescent="0.25">
      <c r="A68" s="213" t="s">
        <v>9</v>
      </c>
      <c r="B68" s="213" t="s">
        <v>70</v>
      </c>
      <c r="C68" s="220">
        <v>814.98653588880939</v>
      </c>
      <c r="D68" s="221">
        <v>586.79030583994279</v>
      </c>
      <c r="E68" s="221">
        <v>532.45787011402217</v>
      </c>
      <c r="F68" s="221">
        <v>467.25894724291737</v>
      </c>
      <c r="G68" s="221">
        <v>543.32435725920629</v>
      </c>
      <c r="H68" s="221">
        <v>641.12274156586341</v>
      </c>
      <c r="I68" s="221">
        <v>651.98922871104753</v>
      </c>
      <c r="J68" s="221">
        <v>608.52328013031104</v>
      </c>
      <c r="K68" s="221">
        <v>597.65679298512691</v>
      </c>
      <c r="L68" s="221">
        <v>554.19084440439042</v>
      </c>
      <c r="M68" s="221">
        <v>434.659485807365</v>
      </c>
      <c r="N68" s="221">
        <v>554.19084440439042</v>
      </c>
      <c r="O68" s="222">
        <v>6987.1512343533923</v>
      </c>
    </row>
    <row r="69" spans="1:15" ht="13" x14ac:dyDescent="0.3">
      <c r="A69" s="223"/>
      <c r="B69" s="224" t="s">
        <v>25</v>
      </c>
      <c r="C69" s="225">
        <v>65.094556846700584</v>
      </c>
      <c r="D69" s="212">
        <v>46.868080929624398</v>
      </c>
      <c r="E69" s="212">
        <v>42.528443806511063</v>
      </c>
      <c r="F69" s="212">
        <v>37.320879258774994</v>
      </c>
      <c r="G69" s="212">
        <v>43.396371231133742</v>
      </c>
      <c r="H69" s="212">
        <v>51.207718052737846</v>
      </c>
      <c r="I69" s="212">
        <v>52.075645477360467</v>
      </c>
      <c r="J69" s="212">
        <v>48.603935778869754</v>
      </c>
      <c r="K69" s="212">
        <v>47.736008354247133</v>
      </c>
      <c r="L69" s="212">
        <v>44.26429865575642</v>
      </c>
      <c r="M69" s="212">
        <v>34.717096984906959</v>
      </c>
      <c r="N69" s="212">
        <v>44.26429865575642</v>
      </c>
      <c r="O69" s="226">
        <v>558.07733403237978</v>
      </c>
    </row>
    <row r="70" spans="1:15" ht="13" x14ac:dyDescent="0.3">
      <c r="A70" s="223"/>
      <c r="B70" s="224" t="s">
        <v>26</v>
      </c>
      <c r="C70" s="225">
        <v>5.2300528256054273</v>
      </c>
      <c r="D70" s="212">
        <v>3.7656380344359079</v>
      </c>
      <c r="E70" s="212">
        <v>3.4169678460622128</v>
      </c>
      <c r="F70" s="212">
        <v>2.9985636200137784</v>
      </c>
      <c r="G70" s="212">
        <v>3.4867018837369517</v>
      </c>
      <c r="H70" s="212">
        <v>4.1143082228096031</v>
      </c>
      <c r="I70" s="212">
        <v>4.1840422604843424</v>
      </c>
      <c r="J70" s="212">
        <v>3.9051061097853856</v>
      </c>
      <c r="K70" s="212">
        <v>3.8353720721106463</v>
      </c>
      <c r="L70" s="212">
        <v>3.5564359214116905</v>
      </c>
      <c r="M70" s="212">
        <v>2.7893615069895614</v>
      </c>
      <c r="N70" s="212">
        <v>3.5564359214116905</v>
      </c>
      <c r="O70" s="226">
        <v>44.838986224857202</v>
      </c>
    </row>
    <row r="71" spans="1:15" ht="13" x14ac:dyDescent="0.3">
      <c r="A71" s="223"/>
      <c r="B71" s="224" t="s">
        <v>27</v>
      </c>
      <c r="C71" s="225">
        <v>70.324609672306011</v>
      </c>
      <c r="D71" s="212">
        <v>50.633718964060307</v>
      </c>
      <c r="E71" s="212">
        <v>45.945411652573277</v>
      </c>
      <c r="F71" s="212">
        <v>40.31944287878877</v>
      </c>
      <c r="G71" s="212">
        <v>46.88307311487069</v>
      </c>
      <c r="H71" s="212">
        <v>55.322026275547451</v>
      </c>
      <c r="I71" s="212">
        <v>56.259687737844807</v>
      </c>
      <c r="J71" s="212">
        <v>52.50904188865514</v>
      </c>
      <c r="K71" s="212">
        <v>51.571380426357777</v>
      </c>
      <c r="L71" s="212">
        <v>47.82073457716811</v>
      </c>
      <c r="M71" s="212">
        <v>37.506458491896524</v>
      </c>
      <c r="N71" s="212">
        <v>47.82073457716811</v>
      </c>
      <c r="O71" s="226">
        <v>602.91632025723698</v>
      </c>
    </row>
    <row r="72" spans="1:15" x14ac:dyDescent="0.25">
      <c r="A72" s="223"/>
      <c r="B72" s="224" t="s">
        <v>49</v>
      </c>
      <c r="C72" s="227">
        <v>749.8919790421088</v>
      </c>
      <c r="D72" s="82">
        <v>539.92222491031839</v>
      </c>
      <c r="E72" s="82">
        <v>489.92942630751111</v>
      </c>
      <c r="F72" s="82">
        <v>429.93806798414238</v>
      </c>
      <c r="G72" s="82">
        <v>499.92798602807255</v>
      </c>
      <c r="H72" s="82">
        <v>589.91502351312556</v>
      </c>
      <c r="I72" s="82">
        <v>599.91358323368706</v>
      </c>
      <c r="J72" s="82">
        <v>559.91934435144128</v>
      </c>
      <c r="K72" s="82">
        <v>549.92078463087978</v>
      </c>
      <c r="L72" s="82">
        <v>509.926545748634</v>
      </c>
      <c r="M72" s="82">
        <v>399.94238882245804</v>
      </c>
      <c r="N72" s="82">
        <v>509.926545748634</v>
      </c>
      <c r="O72" s="228">
        <v>6429.0739003210128</v>
      </c>
    </row>
    <row r="73" spans="1:15" x14ac:dyDescent="0.25">
      <c r="A73" s="223"/>
      <c r="B73" s="224" t="s">
        <v>87</v>
      </c>
      <c r="C73" s="227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228">
        <v>0</v>
      </c>
    </row>
    <row r="74" spans="1:15" x14ac:dyDescent="0.25">
      <c r="A74" s="223"/>
      <c r="B74" s="224" t="s">
        <v>89</v>
      </c>
      <c r="C74" s="227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228">
        <v>0</v>
      </c>
    </row>
    <row r="75" spans="1:15" x14ac:dyDescent="0.25">
      <c r="A75" s="213" t="s">
        <v>54</v>
      </c>
      <c r="B75" s="213" t="s">
        <v>70</v>
      </c>
      <c r="C75" s="220">
        <v>1575.6406360516983</v>
      </c>
      <c r="D75" s="221">
        <v>1086.6487145184126</v>
      </c>
      <c r="E75" s="221">
        <v>999.71681735693949</v>
      </c>
      <c r="F75" s="221">
        <v>1097.5152016635966</v>
      </c>
      <c r="G75" s="221">
        <v>1282.2454831317268</v>
      </c>
      <c r="H75" s="221">
        <v>1879.9022761168537</v>
      </c>
      <c r="I75" s="221">
        <v>1782.1038918101965</v>
      </c>
      <c r="J75" s="221">
        <v>1847.3028146813012</v>
      </c>
      <c r="K75" s="221">
        <v>1695.1719946487235</v>
      </c>
      <c r="L75" s="221">
        <v>1510.4417131805935</v>
      </c>
      <c r="M75" s="221">
        <v>977.98384306657124</v>
      </c>
      <c r="N75" s="221">
        <v>1195.3135859702538</v>
      </c>
      <c r="O75" s="222">
        <v>16929.986972196864</v>
      </c>
    </row>
    <row r="76" spans="1:15" x14ac:dyDescent="0.25">
      <c r="A76" s="223"/>
      <c r="B76" s="224" t="s">
        <v>25</v>
      </c>
      <c r="C76" s="227">
        <v>125.84947657028783</v>
      </c>
      <c r="D76" s="82">
        <v>86.792742462267483</v>
      </c>
      <c r="E76" s="82">
        <v>79.849323065286057</v>
      </c>
      <c r="F76" s="82">
        <v>87.660669886890105</v>
      </c>
      <c r="G76" s="82">
        <v>102.41543610547569</v>
      </c>
      <c r="H76" s="82">
        <v>150.15144445972282</v>
      </c>
      <c r="I76" s="82">
        <v>142.34009763811855</v>
      </c>
      <c r="J76" s="82">
        <v>147.54766218585473</v>
      </c>
      <c r="K76" s="82">
        <v>135.39667824113712</v>
      </c>
      <c r="L76" s="82">
        <v>120.64191202255188</v>
      </c>
      <c r="M76" s="82">
        <v>78.113468216040701</v>
      </c>
      <c r="N76" s="82">
        <v>95.472016708494266</v>
      </c>
      <c r="O76" s="228">
        <v>1352.2309275621271</v>
      </c>
    </row>
    <row r="77" spans="1:15" x14ac:dyDescent="0.25">
      <c r="A77" s="223"/>
      <c r="B77" s="224" t="s">
        <v>26</v>
      </c>
      <c r="C77" s="227">
        <v>10.111435462837159</v>
      </c>
      <c r="D77" s="82">
        <v>6.9734037674739033</v>
      </c>
      <c r="E77" s="82">
        <v>6.4155314660759908</v>
      </c>
      <c r="F77" s="82">
        <v>7.0431378051486426</v>
      </c>
      <c r="G77" s="82">
        <v>8.2286164456192061</v>
      </c>
      <c r="H77" s="82">
        <v>12.063988517729852</v>
      </c>
      <c r="I77" s="82">
        <v>11.436382178657201</v>
      </c>
      <c r="J77" s="82">
        <v>11.854786404705635</v>
      </c>
      <c r="K77" s="82">
        <v>10.878509877259289</v>
      </c>
      <c r="L77" s="82">
        <v>9.693031236788725</v>
      </c>
      <c r="M77" s="82">
        <v>6.2760633907265131</v>
      </c>
      <c r="N77" s="82">
        <v>7.6707441442212927</v>
      </c>
      <c r="O77" s="228">
        <v>108.6456306972434</v>
      </c>
    </row>
    <row r="78" spans="1:15" x14ac:dyDescent="0.25">
      <c r="A78" s="223"/>
      <c r="B78" s="224" t="s">
        <v>27</v>
      </c>
      <c r="C78" s="227">
        <v>135.960912033125</v>
      </c>
      <c r="D78" s="82">
        <v>93.766146229741381</v>
      </c>
      <c r="E78" s="82">
        <v>86.264854531362047</v>
      </c>
      <c r="F78" s="82">
        <v>94.703807692038751</v>
      </c>
      <c r="G78" s="82">
        <v>110.6440525510949</v>
      </c>
      <c r="H78" s="82">
        <v>162.21543297745268</v>
      </c>
      <c r="I78" s="82">
        <v>153.77647981677575</v>
      </c>
      <c r="J78" s="82">
        <v>159.40244859056037</v>
      </c>
      <c r="K78" s="82">
        <v>146.27518811839641</v>
      </c>
      <c r="L78" s="82">
        <v>130.3349432593406</v>
      </c>
      <c r="M78" s="82">
        <v>84.389531606767207</v>
      </c>
      <c r="N78" s="82">
        <v>103.14276085271555</v>
      </c>
      <c r="O78" s="228">
        <v>1460.8765582593708</v>
      </c>
    </row>
    <row r="79" spans="1:15" x14ac:dyDescent="0.25">
      <c r="A79" s="223"/>
      <c r="B79" s="224" t="s">
        <v>49</v>
      </c>
      <c r="C79" s="227">
        <v>1449.7911594814104</v>
      </c>
      <c r="D79" s="82">
        <v>999.85597205614511</v>
      </c>
      <c r="E79" s="82">
        <v>919.86749429165343</v>
      </c>
      <c r="F79" s="82">
        <v>1009.8545317767065</v>
      </c>
      <c r="G79" s="82">
        <v>1179.8300470262511</v>
      </c>
      <c r="H79" s="82">
        <v>1729.7508316571309</v>
      </c>
      <c r="I79" s="82">
        <v>1639.763794172078</v>
      </c>
      <c r="J79" s="82">
        <v>1699.7551524954465</v>
      </c>
      <c r="K79" s="82">
        <v>1559.7753164075864</v>
      </c>
      <c r="L79" s="82">
        <v>1389.7998011580416</v>
      </c>
      <c r="M79" s="82">
        <v>899.87037485053054</v>
      </c>
      <c r="N79" s="82">
        <v>1099.8415692617596</v>
      </c>
      <c r="O79" s="228">
        <v>15577.756044634742</v>
      </c>
    </row>
    <row r="80" spans="1:15" x14ac:dyDescent="0.25">
      <c r="A80" s="223"/>
      <c r="B80" s="224" t="s">
        <v>87</v>
      </c>
      <c r="C80" s="227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228">
        <v>0</v>
      </c>
    </row>
    <row r="81" spans="1:15" x14ac:dyDescent="0.25">
      <c r="A81" s="223"/>
      <c r="B81" s="224" t="s">
        <v>89</v>
      </c>
      <c r="C81" s="227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228">
        <v>0</v>
      </c>
    </row>
    <row r="82" spans="1:15" x14ac:dyDescent="0.25">
      <c r="A82" s="213" t="s">
        <v>55</v>
      </c>
      <c r="B82" s="213" t="s">
        <v>70</v>
      </c>
      <c r="C82" s="220">
        <v>97.798384306657127</v>
      </c>
      <c r="D82" s="221">
        <v>86.931897161473003</v>
      </c>
      <c r="E82" s="221">
        <v>108.66487145184125</v>
      </c>
      <c r="F82" s="221">
        <v>76.06541001628888</v>
      </c>
      <c r="G82" s="221">
        <v>108.66487145184125</v>
      </c>
      <c r="H82" s="221">
        <v>108.66487145184125</v>
      </c>
      <c r="I82" s="221">
        <v>130.39784574220951</v>
      </c>
      <c r="J82" s="221">
        <v>130.39784574220951</v>
      </c>
      <c r="K82" s="221">
        <v>119.53135859702537</v>
      </c>
      <c r="L82" s="221">
        <v>108.66487145184125</v>
      </c>
      <c r="M82" s="221">
        <v>108.66487145184125</v>
      </c>
      <c r="N82" s="221">
        <v>108.66487145184125</v>
      </c>
      <c r="O82" s="222">
        <v>1293.1119702769108</v>
      </c>
    </row>
    <row r="83" spans="1:15" x14ac:dyDescent="0.25">
      <c r="A83" s="223"/>
      <c r="B83" s="224" t="s">
        <v>25</v>
      </c>
      <c r="C83" s="227">
        <v>7.8113468216040758</v>
      </c>
      <c r="D83" s="82">
        <v>6.9434193969813975</v>
      </c>
      <c r="E83" s="82">
        <v>8.6792742462267398</v>
      </c>
      <c r="F83" s="82">
        <v>6.0754919723587193</v>
      </c>
      <c r="G83" s="82">
        <v>8.6792742462267398</v>
      </c>
      <c r="H83" s="82">
        <v>8.6792742462267398</v>
      </c>
      <c r="I83" s="82">
        <v>10.415129095472111</v>
      </c>
      <c r="J83" s="82">
        <v>10.415129095472111</v>
      </c>
      <c r="K83" s="82">
        <v>9.5472016708494181</v>
      </c>
      <c r="L83" s="82">
        <v>8.6792742462267398</v>
      </c>
      <c r="M83" s="82">
        <v>8.6792742462267398</v>
      </c>
      <c r="N83" s="82">
        <v>8.6792742462267398</v>
      </c>
      <c r="O83" s="228">
        <v>103.28336353009827</v>
      </c>
    </row>
    <row r="84" spans="1:15" x14ac:dyDescent="0.25">
      <c r="A84" s="223"/>
      <c r="B84" s="224" t="s">
        <v>26</v>
      </c>
      <c r="C84" s="227">
        <v>0.62760633907265129</v>
      </c>
      <c r="D84" s="82">
        <v>0.55787230139791222</v>
      </c>
      <c r="E84" s="82">
        <v>0.69734037674739036</v>
      </c>
      <c r="F84" s="82">
        <v>0.4881382637231732</v>
      </c>
      <c r="G84" s="82">
        <v>0.69734037674739036</v>
      </c>
      <c r="H84" s="82">
        <v>0.69734037674739036</v>
      </c>
      <c r="I84" s="82">
        <v>0.83680845209686838</v>
      </c>
      <c r="J84" s="82">
        <v>0.83680845209686838</v>
      </c>
      <c r="K84" s="82">
        <v>0.76707441442212931</v>
      </c>
      <c r="L84" s="82">
        <v>0.69734037674739036</v>
      </c>
      <c r="M84" s="82">
        <v>0.69734037674739036</v>
      </c>
      <c r="N84" s="82">
        <v>0.69734037674739036</v>
      </c>
      <c r="O84" s="228">
        <v>8.2983504832939445</v>
      </c>
    </row>
    <row r="85" spans="1:15" x14ac:dyDescent="0.25">
      <c r="A85" s="223"/>
      <c r="B85" s="224" t="s">
        <v>27</v>
      </c>
      <c r="C85" s="227">
        <v>8.4389531606767267</v>
      </c>
      <c r="D85" s="82">
        <v>7.5012916983793101</v>
      </c>
      <c r="E85" s="82">
        <v>9.376614622974131</v>
      </c>
      <c r="F85" s="82">
        <v>6.5636302360818926</v>
      </c>
      <c r="G85" s="82">
        <v>9.376614622974131</v>
      </c>
      <c r="H85" s="82">
        <v>9.376614622974131</v>
      </c>
      <c r="I85" s="82">
        <v>11.251937547568978</v>
      </c>
      <c r="J85" s="82">
        <v>11.251937547568978</v>
      </c>
      <c r="K85" s="82">
        <v>10.314276085271548</v>
      </c>
      <c r="L85" s="82">
        <v>9.376614622974131</v>
      </c>
      <c r="M85" s="82">
        <v>9.376614622974131</v>
      </c>
      <c r="N85" s="82">
        <v>9.376614622974131</v>
      </c>
      <c r="O85" s="228">
        <v>111.58171401339222</v>
      </c>
    </row>
    <row r="86" spans="1:15" x14ac:dyDescent="0.25">
      <c r="A86" s="223"/>
      <c r="B86" s="224" t="s">
        <v>49</v>
      </c>
      <c r="C86" s="227">
        <v>89.987037485053051</v>
      </c>
      <c r="D86" s="82">
        <v>79.988477764491606</v>
      </c>
      <c r="E86" s="82">
        <v>99.985597205614511</v>
      </c>
      <c r="F86" s="82">
        <v>69.98991804393016</v>
      </c>
      <c r="G86" s="82">
        <v>99.985597205614511</v>
      </c>
      <c r="H86" s="82">
        <v>99.985597205614511</v>
      </c>
      <c r="I86" s="82">
        <v>119.9827166467374</v>
      </c>
      <c r="J86" s="82">
        <v>119.9827166467374</v>
      </c>
      <c r="K86" s="82">
        <v>109.98415692617596</v>
      </c>
      <c r="L86" s="82">
        <v>99.985597205614511</v>
      </c>
      <c r="M86" s="82">
        <v>99.985597205614511</v>
      </c>
      <c r="N86" s="82">
        <v>99.985597205614511</v>
      </c>
      <c r="O86" s="228">
        <v>1189.8286067468127</v>
      </c>
    </row>
    <row r="87" spans="1:15" x14ac:dyDescent="0.25">
      <c r="A87" s="223"/>
      <c r="B87" s="224" t="s">
        <v>87</v>
      </c>
      <c r="C87" s="227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228">
        <v>0</v>
      </c>
    </row>
    <row r="88" spans="1:15" x14ac:dyDescent="0.25">
      <c r="A88" s="223"/>
      <c r="B88" s="224" t="s">
        <v>89</v>
      </c>
      <c r="C88" s="227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228">
        <v>0</v>
      </c>
    </row>
    <row r="89" spans="1:15" x14ac:dyDescent="0.25">
      <c r="A89" s="213" t="s">
        <v>56</v>
      </c>
      <c r="B89" s="213" t="s">
        <v>70</v>
      </c>
      <c r="C89" s="220">
        <v>282.52866577478727</v>
      </c>
      <c r="D89" s="221">
        <v>206.46325575849838</v>
      </c>
      <c r="E89" s="221">
        <v>195.59676861331425</v>
      </c>
      <c r="F89" s="221">
        <v>239.06271719405075</v>
      </c>
      <c r="G89" s="221">
        <v>336.86110150070789</v>
      </c>
      <c r="H89" s="221">
        <v>391.19353722662851</v>
      </c>
      <c r="I89" s="221">
        <v>412.92651151699675</v>
      </c>
      <c r="J89" s="221">
        <v>445.52597295254913</v>
      </c>
      <c r="K89" s="221">
        <v>315.12812721033964</v>
      </c>
      <c r="L89" s="221">
        <v>282.52866577478727</v>
      </c>
      <c r="M89" s="221">
        <v>239.06271719405075</v>
      </c>
      <c r="N89" s="221">
        <v>195.59676861331425</v>
      </c>
      <c r="O89" s="222">
        <v>3542.4748093300254</v>
      </c>
    </row>
    <row r="90" spans="1:15" x14ac:dyDescent="0.25">
      <c r="A90" s="223"/>
      <c r="B90" s="224" t="s">
        <v>25</v>
      </c>
      <c r="C90" s="227">
        <v>22.566113040189578</v>
      </c>
      <c r="D90" s="82">
        <v>16.490621067830801</v>
      </c>
      <c r="E90" s="82">
        <v>15.622693643208152</v>
      </c>
      <c r="F90" s="82">
        <v>19.094403341698836</v>
      </c>
      <c r="G90" s="82">
        <v>26.905750163302912</v>
      </c>
      <c r="H90" s="82">
        <v>31.245387286416303</v>
      </c>
      <c r="I90" s="82">
        <v>32.981242135661603</v>
      </c>
      <c r="J90" s="82">
        <v>35.585024409529638</v>
      </c>
      <c r="K90" s="82">
        <v>25.169895314057555</v>
      </c>
      <c r="L90" s="82">
        <v>22.566113040189578</v>
      </c>
      <c r="M90" s="82">
        <v>19.094403341698836</v>
      </c>
      <c r="N90" s="82">
        <v>15.622693643208152</v>
      </c>
      <c r="O90" s="228">
        <v>282.94434042699191</v>
      </c>
    </row>
    <row r="91" spans="1:15" x14ac:dyDescent="0.25">
      <c r="A91" s="223"/>
      <c r="B91" s="224" t="s">
        <v>26</v>
      </c>
      <c r="C91" s="227">
        <v>1.8130849795432147</v>
      </c>
      <c r="D91" s="82">
        <v>1.3249467158200416</v>
      </c>
      <c r="E91" s="82">
        <v>1.2552126781453026</v>
      </c>
      <c r="F91" s="82">
        <v>1.5341488288442586</v>
      </c>
      <c r="G91" s="82">
        <v>2.16175516791691</v>
      </c>
      <c r="H91" s="82">
        <v>2.5104253562906051</v>
      </c>
      <c r="I91" s="82">
        <v>2.6498934316400833</v>
      </c>
      <c r="J91" s="82">
        <v>2.8590955446643003</v>
      </c>
      <c r="K91" s="82">
        <v>2.0222870925674319</v>
      </c>
      <c r="L91" s="82">
        <v>1.8130849795432147</v>
      </c>
      <c r="M91" s="82">
        <v>1.5341488288442586</v>
      </c>
      <c r="N91" s="82">
        <v>1.2552126781453026</v>
      </c>
      <c r="O91" s="228">
        <v>22.733296281964925</v>
      </c>
    </row>
    <row r="92" spans="1:15" x14ac:dyDescent="0.25">
      <c r="A92" s="223"/>
      <c r="B92" s="224" t="s">
        <v>27</v>
      </c>
      <c r="C92" s="227">
        <v>24.379198019732794</v>
      </c>
      <c r="D92" s="82">
        <v>17.815567783650842</v>
      </c>
      <c r="E92" s="82">
        <v>16.877906321353453</v>
      </c>
      <c r="F92" s="82">
        <v>20.628552170543095</v>
      </c>
      <c r="G92" s="82">
        <v>29.06750533121982</v>
      </c>
      <c r="H92" s="82">
        <v>33.755812642706907</v>
      </c>
      <c r="I92" s="82">
        <v>35.631135567301683</v>
      </c>
      <c r="J92" s="82">
        <v>38.444119954193937</v>
      </c>
      <c r="K92" s="82">
        <v>27.192182406624987</v>
      </c>
      <c r="L92" s="82">
        <v>24.379198019732794</v>
      </c>
      <c r="M92" s="82">
        <v>20.628552170543095</v>
      </c>
      <c r="N92" s="82">
        <v>16.877906321353453</v>
      </c>
      <c r="O92" s="228">
        <v>305.67763670895687</v>
      </c>
    </row>
    <row r="93" spans="1:15" x14ac:dyDescent="0.25">
      <c r="A93" s="223"/>
      <c r="B93" s="224" t="s">
        <v>49</v>
      </c>
      <c r="C93" s="227">
        <v>259.96255273459769</v>
      </c>
      <c r="D93" s="82">
        <v>189.97263469066758</v>
      </c>
      <c r="E93" s="82">
        <v>179.9740749701061</v>
      </c>
      <c r="F93" s="82">
        <v>219.96831385235191</v>
      </c>
      <c r="G93" s="82">
        <v>309.95535133740498</v>
      </c>
      <c r="H93" s="82">
        <v>359.9481499402122</v>
      </c>
      <c r="I93" s="82">
        <v>379.94526938133515</v>
      </c>
      <c r="J93" s="82">
        <v>409.94094854301949</v>
      </c>
      <c r="K93" s="82">
        <v>289.95823189628209</v>
      </c>
      <c r="L93" s="82">
        <v>259.96255273459769</v>
      </c>
      <c r="M93" s="82">
        <v>219.96831385235191</v>
      </c>
      <c r="N93" s="82">
        <v>179.9740749701061</v>
      </c>
      <c r="O93" s="228">
        <v>3259.5304689030331</v>
      </c>
    </row>
    <row r="94" spans="1:15" x14ac:dyDescent="0.25">
      <c r="A94" s="223"/>
      <c r="B94" s="224" t="s">
        <v>87</v>
      </c>
      <c r="C94" s="227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228">
        <v>0</v>
      </c>
    </row>
    <row r="95" spans="1:15" x14ac:dyDescent="0.25">
      <c r="A95" s="223"/>
      <c r="B95" s="224" t="s">
        <v>89</v>
      </c>
      <c r="C95" s="227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228">
        <v>0</v>
      </c>
    </row>
    <row r="96" spans="1:15" x14ac:dyDescent="0.25">
      <c r="A96" s="213" t="s">
        <v>57</v>
      </c>
      <c r="B96" s="213" t="s">
        <v>70</v>
      </c>
      <c r="C96" s="220">
        <v>369.46056293626026</v>
      </c>
      <c r="D96" s="221">
        <v>347.72758864589201</v>
      </c>
      <c r="E96" s="221">
        <v>347.72758864589201</v>
      </c>
      <c r="F96" s="221">
        <v>358.59407579107614</v>
      </c>
      <c r="G96" s="221">
        <v>434.659485807365</v>
      </c>
      <c r="H96" s="221">
        <v>510.72489582365387</v>
      </c>
      <c r="I96" s="221">
        <v>510.72489582365387</v>
      </c>
      <c r="J96" s="221">
        <v>554.19084440439042</v>
      </c>
      <c r="K96" s="221">
        <v>467.25894724291737</v>
      </c>
      <c r="L96" s="221">
        <v>402.06002437181263</v>
      </c>
      <c r="M96" s="221">
        <v>369.46056293626026</v>
      </c>
      <c r="N96" s="221">
        <v>347.72758864589201</v>
      </c>
      <c r="O96" s="222">
        <v>5020.3170610750658</v>
      </c>
    </row>
    <row r="97" spans="1:15" x14ac:dyDescent="0.25">
      <c r="A97" s="223"/>
      <c r="B97" s="224" t="s">
        <v>25</v>
      </c>
      <c r="C97" s="227">
        <v>29.509532437170947</v>
      </c>
      <c r="D97" s="82">
        <v>27.77367758792559</v>
      </c>
      <c r="E97" s="82">
        <v>27.77367758792559</v>
      </c>
      <c r="F97" s="82">
        <v>28.641605012548268</v>
      </c>
      <c r="G97" s="82">
        <v>34.717096984906959</v>
      </c>
      <c r="H97" s="82">
        <v>40.792588957265707</v>
      </c>
      <c r="I97" s="82">
        <v>40.792588957265707</v>
      </c>
      <c r="J97" s="82">
        <v>44.26429865575642</v>
      </c>
      <c r="K97" s="82">
        <v>37.320879258774994</v>
      </c>
      <c r="L97" s="82">
        <v>32.113314711038981</v>
      </c>
      <c r="M97" s="82">
        <v>29.509532437170947</v>
      </c>
      <c r="N97" s="82">
        <v>27.77367758792559</v>
      </c>
      <c r="O97" s="228">
        <v>400.9824701756757</v>
      </c>
    </row>
    <row r="98" spans="1:15" x14ac:dyDescent="0.25">
      <c r="A98" s="223"/>
      <c r="B98" s="224" t="s">
        <v>26</v>
      </c>
      <c r="C98" s="227">
        <v>2.370957280941127</v>
      </c>
      <c r="D98" s="82">
        <v>2.2314892055916489</v>
      </c>
      <c r="E98" s="82">
        <v>2.2314892055916489</v>
      </c>
      <c r="F98" s="82">
        <v>2.3012232432663877</v>
      </c>
      <c r="G98" s="82">
        <v>2.7893615069895614</v>
      </c>
      <c r="H98" s="82">
        <v>3.2774997707127347</v>
      </c>
      <c r="I98" s="82">
        <v>3.2774997707127347</v>
      </c>
      <c r="J98" s="82">
        <v>3.5564359214116905</v>
      </c>
      <c r="K98" s="82">
        <v>2.9985636200137784</v>
      </c>
      <c r="L98" s="82">
        <v>2.580159393965344</v>
      </c>
      <c r="M98" s="82">
        <v>2.370957280941127</v>
      </c>
      <c r="N98" s="82">
        <v>2.2314892055916489</v>
      </c>
      <c r="O98" s="228">
        <v>32.217125405729433</v>
      </c>
    </row>
    <row r="99" spans="1:15" x14ac:dyDescent="0.25">
      <c r="A99" s="223"/>
      <c r="B99" s="224" t="s">
        <v>27</v>
      </c>
      <c r="C99" s="227">
        <v>31.880489718112074</v>
      </c>
      <c r="D99" s="82">
        <v>30.00516679351724</v>
      </c>
      <c r="E99" s="82">
        <v>30.00516679351724</v>
      </c>
      <c r="F99" s="82">
        <v>30.942828255814657</v>
      </c>
      <c r="G99" s="82">
        <v>37.506458491896524</v>
      </c>
      <c r="H99" s="82">
        <v>44.070088727978444</v>
      </c>
      <c r="I99" s="82">
        <v>44.070088727978444</v>
      </c>
      <c r="J99" s="82">
        <v>47.82073457716811</v>
      </c>
      <c r="K99" s="82">
        <v>40.31944287878877</v>
      </c>
      <c r="L99" s="82">
        <v>34.693474105004327</v>
      </c>
      <c r="M99" s="82">
        <v>31.880489718112074</v>
      </c>
      <c r="N99" s="82">
        <v>30.00516679351724</v>
      </c>
      <c r="O99" s="228">
        <v>433.19959558140511</v>
      </c>
    </row>
    <row r="100" spans="1:15" x14ac:dyDescent="0.25">
      <c r="A100" s="223"/>
      <c r="B100" s="224" t="s">
        <v>49</v>
      </c>
      <c r="C100" s="227">
        <v>339.95103049908931</v>
      </c>
      <c r="D100" s="82">
        <v>319.95391105796642</v>
      </c>
      <c r="E100" s="82">
        <v>319.95391105796642</v>
      </c>
      <c r="F100" s="82">
        <v>329.95247077852787</v>
      </c>
      <c r="G100" s="82">
        <v>399.94238882245804</v>
      </c>
      <c r="H100" s="82">
        <v>469.93230686638816</v>
      </c>
      <c r="I100" s="82">
        <v>469.93230686638816</v>
      </c>
      <c r="J100" s="82">
        <v>509.926545748634</v>
      </c>
      <c r="K100" s="82">
        <v>429.93806798414238</v>
      </c>
      <c r="L100" s="82">
        <v>369.94670966077365</v>
      </c>
      <c r="M100" s="82">
        <v>339.95103049908931</v>
      </c>
      <c r="N100" s="82">
        <v>319.95391105796642</v>
      </c>
      <c r="O100" s="228">
        <v>4619.3345908993897</v>
      </c>
    </row>
    <row r="101" spans="1:15" x14ac:dyDescent="0.25">
      <c r="A101" s="223"/>
      <c r="B101" s="224" t="s">
        <v>87</v>
      </c>
      <c r="C101" s="227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228">
        <v>0</v>
      </c>
    </row>
    <row r="102" spans="1:15" x14ac:dyDescent="0.25">
      <c r="A102" s="223"/>
      <c r="B102" s="224" t="s">
        <v>89</v>
      </c>
      <c r="C102" s="227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228">
        <v>0</v>
      </c>
    </row>
    <row r="103" spans="1:15" x14ac:dyDescent="0.25">
      <c r="A103" s="213" t="s">
        <v>81</v>
      </c>
      <c r="B103" s="213" t="s">
        <v>70</v>
      </c>
      <c r="C103" s="220">
        <v>2347.1612233597712</v>
      </c>
      <c r="D103" s="221">
        <v>1586.5071231968823</v>
      </c>
      <c r="E103" s="221">
        <v>1227.9130474058061</v>
      </c>
      <c r="F103" s="221">
        <v>825.85302303399351</v>
      </c>
      <c r="G103" s="221">
        <v>1303.9784574220951</v>
      </c>
      <c r="H103" s="221">
        <v>1597.3736103420665</v>
      </c>
      <c r="I103" s="221">
        <v>1684.3055075035395</v>
      </c>
      <c r="J103" s="221">
        <v>1706.0384817939077</v>
      </c>
      <c r="K103" s="221">
        <v>1369.1773802931998</v>
      </c>
      <c r="L103" s="221">
        <v>1217.0465602606221</v>
      </c>
      <c r="M103" s="221">
        <v>1010.5833045021236</v>
      </c>
      <c r="N103" s="221">
        <v>1390.9103545835681</v>
      </c>
      <c r="O103" s="222">
        <v>17266.848073697576</v>
      </c>
    </row>
    <row r="104" spans="1:15" x14ac:dyDescent="0.25">
      <c r="A104" s="223"/>
      <c r="B104" s="224" t="s">
        <v>25</v>
      </c>
      <c r="C104" s="227">
        <v>187.47232371849759</v>
      </c>
      <c r="D104" s="82">
        <v>126.71740399491046</v>
      </c>
      <c r="E104" s="82">
        <v>98.07579898236213</v>
      </c>
      <c r="F104" s="82">
        <v>65.962484271323206</v>
      </c>
      <c r="G104" s="82">
        <v>104.15129095472093</v>
      </c>
      <c r="H104" s="82">
        <v>127.5853314195333</v>
      </c>
      <c r="I104" s="82">
        <v>134.52875081651473</v>
      </c>
      <c r="J104" s="82">
        <v>136.26460566575997</v>
      </c>
      <c r="K104" s="82">
        <v>109.35885550245712</v>
      </c>
      <c r="L104" s="82">
        <v>97.207871557739509</v>
      </c>
      <c r="M104" s="82">
        <v>80.717250489908679</v>
      </c>
      <c r="N104" s="82">
        <v>111.09471035170236</v>
      </c>
      <c r="O104" s="228">
        <v>1379.1366777254298</v>
      </c>
    </row>
    <row r="105" spans="1:15" x14ac:dyDescent="0.25">
      <c r="A105" s="223"/>
      <c r="B105" s="224" t="s">
        <v>26</v>
      </c>
      <c r="C105" s="227">
        <v>15.062552137743632</v>
      </c>
      <c r="D105" s="82">
        <v>10.181169500511897</v>
      </c>
      <c r="E105" s="82">
        <v>7.8799462572455097</v>
      </c>
      <c r="F105" s="82">
        <v>5.2997868632801666</v>
      </c>
      <c r="G105" s="82">
        <v>8.3680845209686847</v>
      </c>
      <c r="H105" s="82">
        <v>10.250903538186638</v>
      </c>
      <c r="I105" s="82">
        <v>10.80877583958455</v>
      </c>
      <c r="J105" s="82">
        <v>10.948243914934027</v>
      </c>
      <c r="K105" s="82">
        <v>8.7864887470171169</v>
      </c>
      <c r="L105" s="82">
        <v>7.8102122195707713</v>
      </c>
      <c r="M105" s="82">
        <v>6.4852655037507301</v>
      </c>
      <c r="N105" s="82">
        <v>8.9259568223665955</v>
      </c>
      <c r="O105" s="228">
        <v>110.80738586516033</v>
      </c>
    </row>
    <row r="106" spans="1:15" x14ac:dyDescent="0.25">
      <c r="A106" s="223"/>
      <c r="B106" s="224" t="s">
        <v>27</v>
      </c>
      <c r="C106" s="227">
        <v>202.53487585624123</v>
      </c>
      <c r="D106" s="82">
        <v>136.89857349542234</v>
      </c>
      <c r="E106" s="82">
        <v>105.95574523960764</v>
      </c>
      <c r="F106" s="82">
        <v>71.262271134603367</v>
      </c>
      <c r="G106" s="82">
        <v>112.51937547568961</v>
      </c>
      <c r="H106" s="82">
        <v>137.83623495771994</v>
      </c>
      <c r="I106" s="82">
        <v>145.33752665609927</v>
      </c>
      <c r="J106" s="82">
        <v>147.21284958069401</v>
      </c>
      <c r="K106" s="82">
        <v>118.14534424947423</v>
      </c>
      <c r="L106" s="82">
        <v>105.01808377731028</v>
      </c>
      <c r="M106" s="82">
        <v>87.202515993659404</v>
      </c>
      <c r="N106" s="82">
        <v>120.02066717406896</v>
      </c>
      <c r="O106" s="228">
        <v>1489.9440635905903</v>
      </c>
    </row>
    <row r="107" spans="1:15" x14ac:dyDescent="0.25">
      <c r="A107" s="223"/>
      <c r="B107" s="224" t="s">
        <v>49</v>
      </c>
      <c r="C107" s="227">
        <v>2159.6888996412736</v>
      </c>
      <c r="D107" s="82">
        <v>1459.7897192019718</v>
      </c>
      <c r="E107" s="82">
        <v>1129.837248423444</v>
      </c>
      <c r="F107" s="82">
        <v>759.8905387626703</v>
      </c>
      <c r="G107" s="82">
        <v>1199.8271664673741</v>
      </c>
      <c r="H107" s="82">
        <v>1469.7882789225332</v>
      </c>
      <c r="I107" s="82">
        <v>1549.7767566870248</v>
      </c>
      <c r="J107" s="82">
        <v>1569.7738761281478</v>
      </c>
      <c r="K107" s="82">
        <v>1259.8185247907427</v>
      </c>
      <c r="L107" s="82">
        <v>1119.8386887028826</v>
      </c>
      <c r="M107" s="82">
        <v>929.86605401221493</v>
      </c>
      <c r="N107" s="82">
        <v>1279.8156442318657</v>
      </c>
      <c r="O107" s="228">
        <v>15887.711395972143</v>
      </c>
    </row>
    <row r="108" spans="1:15" x14ac:dyDescent="0.25">
      <c r="A108" s="223"/>
      <c r="B108" s="224" t="s">
        <v>87</v>
      </c>
      <c r="C108" s="227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228">
        <v>0</v>
      </c>
    </row>
    <row r="109" spans="1:15" x14ac:dyDescent="0.25">
      <c r="A109" s="223"/>
      <c r="B109" s="224" t="s">
        <v>89</v>
      </c>
      <c r="C109" s="227">
        <v>0</v>
      </c>
      <c r="D109" s="82">
        <v>0</v>
      </c>
      <c r="E109" s="82">
        <v>0</v>
      </c>
      <c r="F109" s="82">
        <v>0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228">
        <v>0</v>
      </c>
    </row>
    <row r="110" spans="1:15" x14ac:dyDescent="0.25">
      <c r="A110" s="213" t="s">
        <v>83</v>
      </c>
      <c r="B110" s="213" t="s">
        <v>70</v>
      </c>
      <c r="C110" s="220">
        <v>630.25625442067928</v>
      </c>
      <c r="D110" s="221">
        <v>391.19353722662851</v>
      </c>
      <c r="E110" s="221">
        <v>315.12812721033964</v>
      </c>
      <c r="F110" s="221">
        <v>293.39515291997139</v>
      </c>
      <c r="G110" s="221">
        <v>391.19353722662851</v>
      </c>
      <c r="H110" s="221">
        <v>575.92381869475867</v>
      </c>
      <c r="I110" s="221">
        <v>575.92381869475867</v>
      </c>
      <c r="J110" s="221">
        <v>586.79030583994279</v>
      </c>
      <c r="K110" s="221">
        <v>521.59138296883805</v>
      </c>
      <c r="L110" s="221">
        <v>445.52597295254913</v>
      </c>
      <c r="M110" s="221">
        <v>239.06271719405075</v>
      </c>
      <c r="N110" s="221">
        <v>402.06002437181263</v>
      </c>
      <c r="O110" s="222">
        <v>5368.0446497209578</v>
      </c>
    </row>
    <row r="111" spans="1:15" x14ac:dyDescent="0.25">
      <c r="A111" s="223"/>
      <c r="B111" s="224" t="s">
        <v>25</v>
      </c>
      <c r="C111" s="227">
        <v>50.339790628115111</v>
      </c>
      <c r="D111" s="82">
        <v>31.245387286416303</v>
      </c>
      <c r="E111" s="82">
        <v>25.169895314057555</v>
      </c>
      <c r="F111" s="82">
        <v>23.434040464812199</v>
      </c>
      <c r="G111" s="82">
        <v>31.245387286416303</v>
      </c>
      <c r="H111" s="82">
        <v>46.000153505001776</v>
      </c>
      <c r="I111" s="82">
        <v>46.000153505001776</v>
      </c>
      <c r="J111" s="82">
        <v>46.868080929624398</v>
      </c>
      <c r="K111" s="82">
        <v>41.660516381888442</v>
      </c>
      <c r="L111" s="82">
        <v>35.585024409529638</v>
      </c>
      <c r="M111" s="82">
        <v>19.094403341698836</v>
      </c>
      <c r="N111" s="82">
        <v>32.113314711038981</v>
      </c>
      <c r="O111" s="228">
        <v>428.75614776360129</v>
      </c>
    </row>
    <row r="112" spans="1:15" x14ac:dyDescent="0.25">
      <c r="A112" s="223"/>
      <c r="B112" s="224" t="s">
        <v>26</v>
      </c>
      <c r="C112" s="227">
        <v>4.0445741851348638</v>
      </c>
      <c r="D112" s="82">
        <v>2.5104253562906051</v>
      </c>
      <c r="E112" s="82">
        <v>2.0222870925674319</v>
      </c>
      <c r="F112" s="82">
        <v>1.882819017217954</v>
      </c>
      <c r="G112" s="82">
        <v>2.5104253562906051</v>
      </c>
      <c r="H112" s="82">
        <v>3.6959039967611687</v>
      </c>
      <c r="I112" s="82">
        <v>3.6959039967611687</v>
      </c>
      <c r="J112" s="82">
        <v>3.7656380344359079</v>
      </c>
      <c r="K112" s="82">
        <v>3.3472338083874735</v>
      </c>
      <c r="L112" s="82">
        <v>2.8590955446643003</v>
      </c>
      <c r="M112" s="82">
        <v>1.5341488288442586</v>
      </c>
      <c r="N112" s="82">
        <v>2.580159393965344</v>
      </c>
      <c r="O112" s="228">
        <v>34.448614611321084</v>
      </c>
    </row>
    <row r="113" spans="1:15" x14ac:dyDescent="0.25">
      <c r="A113" s="223"/>
      <c r="B113" s="224" t="s">
        <v>27</v>
      </c>
      <c r="C113" s="227">
        <v>54.384364813249974</v>
      </c>
      <c r="D113" s="82">
        <v>33.755812642706907</v>
      </c>
      <c r="E113" s="82">
        <v>27.192182406624987</v>
      </c>
      <c r="F113" s="82">
        <v>25.316859482030154</v>
      </c>
      <c r="G113" s="82">
        <v>33.755812642706907</v>
      </c>
      <c r="H113" s="82">
        <v>49.696057501762944</v>
      </c>
      <c r="I113" s="82">
        <v>49.696057501762944</v>
      </c>
      <c r="J113" s="82">
        <v>50.633718964060307</v>
      </c>
      <c r="K113" s="82">
        <v>45.007750190275914</v>
      </c>
      <c r="L113" s="82">
        <v>38.444119954193937</v>
      </c>
      <c r="M113" s="82">
        <v>20.628552170543095</v>
      </c>
      <c r="N113" s="82">
        <v>34.693474105004327</v>
      </c>
      <c r="O113" s="228">
        <v>463.20476237492244</v>
      </c>
    </row>
    <row r="114" spans="1:15" x14ac:dyDescent="0.25">
      <c r="A114" s="223"/>
      <c r="B114" s="224" t="s">
        <v>49</v>
      </c>
      <c r="C114" s="227">
        <v>579.91646379256417</v>
      </c>
      <c r="D114" s="82">
        <v>359.9481499402122</v>
      </c>
      <c r="E114" s="82">
        <v>289.95823189628209</v>
      </c>
      <c r="F114" s="82">
        <v>269.9611124551592</v>
      </c>
      <c r="G114" s="82">
        <v>359.9481499402122</v>
      </c>
      <c r="H114" s="82">
        <v>529.92366518975689</v>
      </c>
      <c r="I114" s="82">
        <v>529.92366518975689</v>
      </c>
      <c r="J114" s="82">
        <v>539.92222491031839</v>
      </c>
      <c r="K114" s="82">
        <v>479.93086658694961</v>
      </c>
      <c r="L114" s="82">
        <v>409.94094854301949</v>
      </c>
      <c r="M114" s="82">
        <v>219.96831385235191</v>
      </c>
      <c r="N114" s="82">
        <v>369.94670966077365</v>
      </c>
      <c r="O114" s="228">
        <v>4939.2885019573569</v>
      </c>
    </row>
    <row r="115" spans="1:15" x14ac:dyDescent="0.25">
      <c r="A115" s="223"/>
      <c r="B115" s="224" t="s">
        <v>87</v>
      </c>
      <c r="C115" s="227">
        <v>0</v>
      </c>
      <c r="D115" s="82">
        <v>0</v>
      </c>
      <c r="E115" s="82">
        <v>0</v>
      </c>
      <c r="F115" s="82">
        <v>0</v>
      </c>
      <c r="G115" s="82">
        <v>0</v>
      </c>
      <c r="H115" s="82">
        <v>0</v>
      </c>
      <c r="I115" s="82">
        <v>0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228">
        <v>0</v>
      </c>
    </row>
    <row r="116" spans="1:15" x14ac:dyDescent="0.25">
      <c r="A116" s="223"/>
      <c r="B116" s="224" t="s">
        <v>89</v>
      </c>
      <c r="C116" s="227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228">
        <v>0</v>
      </c>
    </row>
    <row r="117" spans="1:15" x14ac:dyDescent="0.25">
      <c r="A117" s="213" t="s">
        <v>71</v>
      </c>
      <c r="B117" s="214"/>
      <c r="C117" s="220">
        <v>108414.94224750203</v>
      </c>
      <c r="D117" s="221">
        <v>79140.625878375969</v>
      </c>
      <c r="E117" s="221">
        <v>70262.70588076055</v>
      </c>
      <c r="F117" s="221">
        <v>75674.216479062263</v>
      </c>
      <c r="G117" s="221">
        <v>91365.423916708125</v>
      </c>
      <c r="H117" s="221">
        <v>112424.67600407497</v>
      </c>
      <c r="I117" s="221">
        <v>113630.8560771904</v>
      </c>
      <c r="J117" s="221">
        <v>115108.69832893542</v>
      </c>
      <c r="K117" s="221">
        <v>103622.82141647584</v>
      </c>
      <c r="L117" s="221">
        <v>91441.489326724419</v>
      </c>
      <c r="M117" s="221">
        <v>66176.906714171331</v>
      </c>
      <c r="N117" s="221">
        <v>79499.219954167056</v>
      </c>
      <c r="O117" s="222">
        <v>1106762.5822241483</v>
      </c>
    </row>
    <row r="118" spans="1:15" ht="13" x14ac:dyDescent="0.3">
      <c r="A118" s="213" t="s">
        <v>28</v>
      </c>
      <c r="B118" s="214"/>
      <c r="C118" s="229">
        <v>8659.3119154604192</v>
      </c>
      <c r="D118" s="230">
        <v>6321.1154335269384</v>
      </c>
      <c r="E118" s="230">
        <v>5612.018727610216</v>
      </c>
      <c r="F118" s="230">
        <v>6044.2465850723065</v>
      </c>
      <c r="G118" s="230">
        <v>7297.5337862274491</v>
      </c>
      <c r="H118" s="230">
        <v>8979.5771351461899</v>
      </c>
      <c r="I118" s="230">
        <v>9075.9170792793029</v>
      </c>
      <c r="J118" s="230">
        <v>9193.955209027994</v>
      </c>
      <c r="K118" s="230">
        <v>8276.5559212018252</v>
      </c>
      <c r="L118" s="230">
        <v>7303.6092781998059</v>
      </c>
      <c r="M118" s="230">
        <v>5285.6780159520877</v>
      </c>
      <c r="N118" s="230">
        <v>6349.7570385394893</v>
      </c>
      <c r="O118" s="231">
        <v>88399.276125244025</v>
      </c>
    </row>
    <row r="119" spans="1:15" ht="13" x14ac:dyDescent="0.3">
      <c r="A119" s="213" t="s">
        <v>29</v>
      </c>
      <c r="B119" s="214"/>
      <c r="C119" s="229">
        <v>695.73649388087119</v>
      </c>
      <c r="D119" s="230">
        <v>507.87299638512428</v>
      </c>
      <c r="E119" s="230">
        <v>450.90028760486251</v>
      </c>
      <c r="F119" s="230">
        <v>485.62783836688271</v>
      </c>
      <c r="G119" s="230">
        <v>586.32378876920575</v>
      </c>
      <c r="H119" s="230">
        <v>721.46835378285016</v>
      </c>
      <c r="I119" s="230">
        <v>729.2088319647462</v>
      </c>
      <c r="J119" s="230">
        <v>738.69266108851048</v>
      </c>
      <c r="K119" s="230">
        <v>664.98378326631132</v>
      </c>
      <c r="L119" s="230">
        <v>586.81192703292891</v>
      </c>
      <c r="M119" s="230">
        <v>424.68028943916067</v>
      </c>
      <c r="N119" s="230">
        <v>510.17421962839069</v>
      </c>
      <c r="O119" s="231">
        <v>7102.4814712098432</v>
      </c>
    </row>
    <row r="120" spans="1:15" ht="13" x14ac:dyDescent="0.3">
      <c r="A120" s="213" t="s">
        <v>30</v>
      </c>
      <c r="B120" s="214"/>
      <c r="C120" s="229">
        <v>9355.0484093412942</v>
      </c>
      <c r="D120" s="230">
        <v>6828.9884299120622</v>
      </c>
      <c r="E120" s="230">
        <v>6062.9190152150795</v>
      </c>
      <c r="F120" s="230">
        <v>6529.8744234391897</v>
      </c>
      <c r="G120" s="230">
        <v>7883.8575749966558</v>
      </c>
      <c r="H120" s="230">
        <v>9701.0454889290377</v>
      </c>
      <c r="I120" s="230">
        <v>9805.125911244053</v>
      </c>
      <c r="J120" s="230">
        <v>9932.647870116507</v>
      </c>
      <c r="K120" s="230">
        <v>8941.5397044681376</v>
      </c>
      <c r="L120" s="230">
        <v>7890.4212052327366</v>
      </c>
      <c r="M120" s="230">
        <v>5710.3583053912489</v>
      </c>
      <c r="N120" s="230">
        <v>6859.9312581678805</v>
      </c>
      <c r="O120" s="231">
        <v>95501.757596453885</v>
      </c>
    </row>
    <row r="121" spans="1:15" x14ac:dyDescent="0.25">
      <c r="A121" s="213" t="s">
        <v>61</v>
      </c>
      <c r="B121" s="214"/>
      <c r="C121" s="220">
        <v>99755.63033204159</v>
      </c>
      <c r="D121" s="221">
        <v>72819.51044484906</v>
      </c>
      <c r="E121" s="221">
        <v>64650.687153150342</v>
      </c>
      <c r="F121" s="221">
        <v>69629.969893989954</v>
      </c>
      <c r="G121" s="221">
        <v>84067.890130480679</v>
      </c>
      <c r="H121" s="221">
        <v>103445.09886892878</v>
      </c>
      <c r="I121" s="221">
        <v>104554.93899791111</v>
      </c>
      <c r="J121" s="221">
        <v>105914.74311990745</v>
      </c>
      <c r="K121" s="221">
        <v>95346.265495273983</v>
      </c>
      <c r="L121" s="221">
        <v>84137.880048524588</v>
      </c>
      <c r="M121" s="221">
        <v>60891.228698219231</v>
      </c>
      <c r="N121" s="221">
        <v>73149.462915627562</v>
      </c>
      <c r="O121" s="222">
        <v>1018363.3060989043</v>
      </c>
    </row>
    <row r="122" spans="1:15" x14ac:dyDescent="0.25">
      <c r="A122" s="213" t="s">
        <v>88</v>
      </c>
      <c r="B122" s="214"/>
      <c r="C122" s="220">
        <v>0</v>
      </c>
      <c r="D122" s="221">
        <v>0</v>
      </c>
      <c r="E122" s="221">
        <v>0</v>
      </c>
      <c r="F122" s="221">
        <v>0</v>
      </c>
      <c r="G122" s="221">
        <v>0</v>
      </c>
      <c r="H122" s="221">
        <v>0</v>
      </c>
      <c r="I122" s="221">
        <v>0</v>
      </c>
      <c r="J122" s="221">
        <v>0</v>
      </c>
      <c r="K122" s="221">
        <v>0</v>
      </c>
      <c r="L122" s="221">
        <v>0</v>
      </c>
      <c r="M122" s="221">
        <v>0</v>
      </c>
      <c r="N122" s="221">
        <v>0</v>
      </c>
      <c r="O122" s="222">
        <v>0</v>
      </c>
    </row>
    <row r="123" spans="1:15" x14ac:dyDescent="0.25">
      <c r="A123" s="232" t="s">
        <v>90</v>
      </c>
      <c r="B123" s="233"/>
      <c r="C123" s="234">
        <v>0</v>
      </c>
      <c r="D123" s="235">
        <v>0</v>
      </c>
      <c r="E123" s="235">
        <v>0</v>
      </c>
      <c r="F123" s="235">
        <v>0</v>
      </c>
      <c r="G123" s="235">
        <v>0</v>
      </c>
      <c r="H123" s="235">
        <v>0</v>
      </c>
      <c r="I123" s="235">
        <v>0</v>
      </c>
      <c r="J123" s="235">
        <v>0</v>
      </c>
      <c r="K123" s="235">
        <v>0</v>
      </c>
      <c r="L123" s="235">
        <v>0</v>
      </c>
      <c r="M123" s="235">
        <v>0</v>
      </c>
      <c r="N123" s="235">
        <v>0</v>
      </c>
      <c r="O123" s="236">
        <v>0</v>
      </c>
    </row>
    <row r="125" spans="1:15" x14ac:dyDescent="0.25">
      <c r="L125" s="199"/>
      <c r="O125" s="199"/>
    </row>
    <row r="126" spans="1:15" x14ac:dyDescent="0.25">
      <c r="L126" s="82"/>
      <c r="O126" s="82"/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K14" sqref="K14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29" customWidth="1"/>
    <col min="5" max="5" width="24.26953125" style="1" customWidth="1"/>
    <col min="6" max="6" width="7.7265625" style="129" customWidth="1"/>
    <col min="7" max="7" width="8.1796875" style="129" customWidth="1"/>
    <col min="8" max="8" width="11.1796875" style="129" bestFit="1" customWidth="1"/>
    <col min="9" max="9" width="11.26953125" style="130" customWidth="1"/>
    <col min="10" max="10" width="14.81640625" style="129" bestFit="1" customWidth="1"/>
    <col min="11" max="11" width="14.81640625" style="131" bestFit="1" customWidth="1"/>
    <col min="12" max="12" width="14.7265625" style="129" customWidth="1"/>
    <col min="13" max="13" width="13.453125" style="93" bestFit="1" customWidth="1"/>
    <col min="14" max="15" width="13.453125" style="93" customWidth="1"/>
    <col min="16" max="16" width="14.81640625" style="93" bestFit="1" customWidth="1"/>
    <col min="17" max="17" width="13.453125" style="93" customWidth="1"/>
    <col min="18" max="18" width="15.54296875" style="196" customWidth="1"/>
    <col min="19" max="16384" width="8.7265625" style="1"/>
  </cols>
  <sheetData>
    <row r="1" spans="2:19" ht="21.5" x14ac:dyDescent="0.3">
      <c r="B1" s="10" t="s">
        <v>95</v>
      </c>
      <c r="C1" s="83"/>
      <c r="D1" s="84"/>
      <c r="E1" s="83"/>
      <c r="F1" s="85" t="s">
        <v>12</v>
      </c>
      <c r="G1" s="86"/>
      <c r="H1" s="87"/>
      <c r="I1" s="88"/>
      <c r="J1" s="201" t="str">
        <f>"True-Up ARR
(CY"&amp;R1&amp;")"</f>
        <v>True-Up ARR
(CY2024)</v>
      </c>
      <c r="K1" s="201" t="str">
        <f>"Projected ARR
(Jan'"&amp;RIGHT(R$1,2)&amp;" - Dec'"&amp;RIGHT(R$1,2)&amp;")"</f>
        <v>Projected ARR
(Jan'24 - Dec'24)</v>
      </c>
      <c r="L1" s="89" t="s">
        <v>45</v>
      </c>
      <c r="M1" s="90"/>
      <c r="N1" s="50"/>
      <c r="O1" s="50"/>
      <c r="P1" s="50"/>
      <c r="Q1" s="50"/>
      <c r="R1" s="91">
        <v>2024</v>
      </c>
      <c r="S1" s="2"/>
    </row>
    <row r="2" spans="2:19" ht="13" x14ac:dyDescent="0.3">
      <c r="B2" s="10" t="s">
        <v>52</v>
      </c>
      <c r="C2" s="83"/>
      <c r="D2" s="84"/>
      <c r="E2" s="83"/>
      <c r="F2" s="92">
        <v>1</v>
      </c>
      <c r="G2" s="238"/>
      <c r="H2" s="238"/>
      <c r="I2" s="94" t="s">
        <v>6</v>
      </c>
      <c r="J2" s="95">
        <v>1106762.5822241486</v>
      </c>
      <c r="K2" s="95">
        <v>1014933.8001147518</v>
      </c>
      <c r="L2" s="207"/>
      <c r="M2" s="97"/>
      <c r="N2" s="50"/>
      <c r="O2" s="50"/>
      <c r="P2" s="50"/>
      <c r="Q2" s="50"/>
      <c r="R2" s="1"/>
    </row>
    <row r="3" spans="2:19" ht="13" x14ac:dyDescent="0.3">
      <c r="B3" s="10" t="str">
        <f>"for CY"&amp;R1&amp;" SPP Network Transmission Service"</f>
        <v>for CY2024 SPP Network Transmission Service</v>
      </c>
      <c r="C3" s="83"/>
      <c r="D3" s="84"/>
      <c r="E3" s="83"/>
      <c r="F3" s="92"/>
      <c r="G3" s="238"/>
      <c r="H3" s="238"/>
      <c r="I3" s="94" t="s">
        <v>10</v>
      </c>
      <c r="J3" s="98">
        <v>10.866487145184125</v>
      </c>
      <c r="K3" s="98">
        <v>9.9985597205614507</v>
      </c>
      <c r="L3" s="118" t="str">
        <f>"Inv. Jan-Dec'"&amp;RIGHT(R1,2)</f>
        <v>Inv. Jan-Dec'24</v>
      </c>
      <c r="M3" s="97"/>
      <c r="N3" s="50"/>
      <c r="O3" s="50"/>
      <c r="P3" s="50"/>
      <c r="Q3" s="50"/>
      <c r="R3" s="1"/>
    </row>
    <row r="4" spans="2:19" ht="13" x14ac:dyDescent="0.3">
      <c r="B4" s="9"/>
      <c r="C4" s="83"/>
      <c r="D4" s="84"/>
      <c r="E4" s="83"/>
      <c r="F4" s="92"/>
      <c r="G4" s="93"/>
      <c r="H4" s="93"/>
      <c r="I4" s="49"/>
      <c r="J4" s="198"/>
      <c r="K4" s="99"/>
      <c r="L4" s="93"/>
      <c r="M4" s="100"/>
      <c r="R4" s="1"/>
    </row>
    <row r="5" spans="2:19" ht="13" x14ac:dyDescent="0.3">
      <c r="B5" s="9"/>
      <c r="C5" s="83"/>
      <c r="D5" s="84"/>
      <c r="E5" s="83"/>
      <c r="F5" s="92"/>
      <c r="G5" s="93"/>
      <c r="H5" s="93"/>
      <c r="I5" s="94"/>
      <c r="J5" s="198"/>
      <c r="K5" s="95">
        <v>0</v>
      </c>
      <c r="L5" s="96"/>
      <c r="M5" s="101"/>
      <c r="N5" s="102"/>
      <c r="O5" s="102"/>
      <c r="P5" s="102"/>
      <c r="Q5" s="102"/>
      <c r="R5" s="50"/>
      <c r="S5" s="50"/>
    </row>
    <row r="6" spans="2:19" ht="13" x14ac:dyDescent="0.3">
      <c r="B6" s="10" t="s">
        <v>23</v>
      </c>
      <c r="D6" s="84"/>
      <c r="E6" s="83"/>
      <c r="F6" s="104"/>
      <c r="G6" s="105"/>
      <c r="H6" s="106"/>
      <c r="I6" s="107"/>
      <c r="J6" s="108"/>
      <c r="K6" s="98">
        <v>0</v>
      </c>
      <c r="L6" s="197"/>
      <c r="M6" s="101"/>
      <c r="N6" s="102"/>
      <c r="O6" s="102"/>
      <c r="P6" s="102"/>
      <c r="Q6" s="102"/>
      <c r="R6" s="50"/>
      <c r="S6" s="50"/>
    </row>
    <row r="7" spans="2:19" ht="13" x14ac:dyDescent="0.3">
      <c r="B7" s="9" t="s">
        <v>77</v>
      </c>
      <c r="D7" s="84"/>
      <c r="E7" s="83"/>
      <c r="F7" s="92"/>
      <c r="G7" s="239"/>
      <c r="H7" s="238"/>
      <c r="I7" s="94"/>
      <c r="J7" s="109"/>
      <c r="K7" s="96"/>
      <c r="L7" s="96"/>
      <c r="M7" s="110"/>
      <c r="N7" s="111"/>
      <c r="O7" s="111"/>
      <c r="P7" s="111"/>
      <c r="Q7" s="111"/>
      <c r="R7" s="1"/>
    </row>
    <row r="8" spans="2:19" ht="13" x14ac:dyDescent="0.3">
      <c r="B8" s="10"/>
      <c r="C8" s="83"/>
      <c r="D8" s="84"/>
      <c r="E8" s="83"/>
      <c r="F8" s="92"/>
      <c r="G8" s="238"/>
      <c r="H8" s="238"/>
      <c r="I8" s="94"/>
      <c r="J8" s="112"/>
      <c r="K8" s="96"/>
      <c r="L8" s="113"/>
      <c r="M8" s="97"/>
      <c r="N8" s="50"/>
      <c r="O8" s="50"/>
      <c r="P8" s="50"/>
      <c r="Q8" s="50"/>
      <c r="R8" s="103"/>
    </row>
    <row r="9" spans="2:19" ht="13" x14ac:dyDescent="0.3">
      <c r="B9" s="114"/>
      <c r="C9" s="83"/>
      <c r="D9" s="84"/>
      <c r="E9" s="83"/>
      <c r="F9" s="92"/>
      <c r="G9" s="93"/>
      <c r="H9" s="93"/>
      <c r="I9" s="115"/>
      <c r="J9" s="116"/>
      <c r="K9" s="117"/>
      <c r="L9" s="118"/>
      <c r="M9" s="97"/>
      <c r="N9" s="50"/>
      <c r="O9" s="50"/>
      <c r="P9" s="50"/>
      <c r="Q9" s="50"/>
      <c r="R9" s="103"/>
    </row>
    <row r="10" spans="2:19" ht="13.5" thickBot="1" x14ac:dyDescent="0.35">
      <c r="B10" s="9"/>
      <c r="D10" s="1"/>
      <c r="E10" s="119"/>
      <c r="F10" s="120"/>
      <c r="G10" s="121"/>
      <c r="H10" s="122"/>
      <c r="I10" s="123"/>
      <c r="J10" s="124"/>
      <c r="K10" s="124"/>
      <c r="L10" s="125"/>
      <c r="M10" s="126"/>
      <c r="R10" s="127"/>
    </row>
    <row r="11" spans="2:19" ht="13" x14ac:dyDescent="0.3">
      <c r="B11" s="128"/>
      <c r="E11" s="119"/>
      <c r="L11" s="132"/>
      <c r="M11" s="1"/>
      <c r="N11" s="1"/>
      <c r="O11" s="1"/>
      <c r="P11" s="1"/>
      <c r="Q11" s="1"/>
      <c r="R11" s="103"/>
    </row>
    <row r="12" spans="2:19" x14ac:dyDescent="0.25">
      <c r="E12" s="119"/>
      <c r="L12" s="132"/>
      <c r="R12" s="133" t="s">
        <v>60</v>
      </c>
    </row>
    <row r="13" spans="2:19" ht="13" x14ac:dyDescent="0.3">
      <c r="E13" s="119"/>
      <c r="F13" s="134"/>
      <c r="G13" s="135"/>
      <c r="H13" s="135"/>
      <c r="I13" s="136" t="s">
        <v>58</v>
      </c>
      <c r="J13" s="137">
        <f t="shared" ref="J13:R13" si="0">SUM(J56:J211)</f>
        <v>292254.17176972714</v>
      </c>
      <c r="K13" s="137">
        <f t="shared" si="0"/>
        <v>268911.26368450024</v>
      </c>
      <c r="L13" s="138">
        <f t="shared" si="0"/>
        <v>23342.908085226827</v>
      </c>
      <c r="M13" s="139">
        <f t="shared" si="0"/>
        <v>1875.4969432621067</v>
      </c>
      <c r="N13" s="137">
        <f t="shared" si="0"/>
        <v>25218.405028488964</v>
      </c>
      <c r="O13" s="137">
        <f t="shared" si="0"/>
        <v>0</v>
      </c>
      <c r="P13" s="137">
        <f t="shared" si="0"/>
        <v>0</v>
      </c>
      <c r="Q13" s="137">
        <f t="shared" si="0"/>
        <v>0</v>
      </c>
      <c r="R13" s="138">
        <f t="shared" si="0"/>
        <v>25218.405028488964</v>
      </c>
    </row>
    <row r="14" spans="2:19" ht="13" x14ac:dyDescent="0.3">
      <c r="E14" s="119"/>
      <c r="F14" s="140"/>
      <c r="G14" s="140"/>
      <c r="H14" s="140"/>
      <c r="I14" s="141" t="s">
        <v>59</v>
      </c>
      <c r="J14" s="137">
        <f>SUM(J20:J211)</f>
        <v>1106762.5822241488</v>
      </c>
      <c r="K14" s="137">
        <f>SUM(K20:K211)</f>
        <v>1018363.3060989039</v>
      </c>
      <c r="L14" s="138">
        <f>SUM(L20:L211)</f>
        <v>88399.276125244083</v>
      </c>
      <c r="M14" s="200">
        <v>7102.481471209845</v>
      </c>
      <c r="N14" s="137">
        <f>SUM(N20:N211)</f>
        <v>95501.757596453841</v>
      </c>
      <c r="O14" s="137">
        <f>SUM(O20:O211)</f>
        <v>0</v>
      </c>
      <c r="P14" s="137">
        <f>SUM(P20:P211)</f>
        <v>0</v>
      </c>
      <c r="Q14" s="137">
        <f>SUM(Q20:Q211)</f>
        <v>0</v>
      </c>
      <c r="R14" s="138">
        <f>SUM(R20:R211)</f>
        <v>95501.757596453841</v>
      </c>
    </row>
    <row r="15" spans="2:19" x14ac:dyDescent="0.25">
      <c r="B15" s="142" t="s">
        <v>82</v>
      </c>
      <c r="E15" s="119"/>
      <c r="J15" s="130"/>
      <c r="L15" s="132"/>
      <c r="M15" s="208"/>
      <c r="N15" s="143"/>
      <c r="O15" s="143"/>
      <c r="P15" s="143"/>
      <c r="Q15" s="143"/>
      <c r="R15" s="144" t="s">
        <v>20</v>
      </c>
    </row>
    <row r="16" spans="2:19" x14ac:dyDescent="0.25">
      <c r="B16" s="145" t="str">
        <f>"** Actual Trued-Up CY"&amp;R1&amp;" Charge reflects "&amp;R1&amp;" True-UP Rate x MW"</f>
        <v>** Actual Trued-Up CY2024 Charge reflects 2024 True-UP Rate x MW</v>
      </c>
      <c r="E16" s="119"/>
      <c r="F16" s="93"/>
      <c r="G16" s="5"/>
      <c r="J16" s="146"/>
      <c r="L16" s="147" t="s">
        <v>11</v>
      </c>
      <c r="M16" s="143"/>
      <c r="N16" s="143"/>
      <c r="O16" s="143"/>
      <c r="P16" s="143"/>
      <c r="Q16" s="143"/>
      <c r="R16" s="148"/>
    </row>
    <row r="17" spans="1:18" x14ac:dyDescent="0.25">
      <c r="B17" s="149" t="s">
        <v>62</v>
      </c>
      <c r="E17" s="119"/>
      <c r="I17" s="150"/>
      <c r="J17" s="151"/>
      <c r="K17" s="152"/>
      <c r="L17" s="152"/>
      <c r="M17" s="152"/>
      <c r="N17" s="152"/>
      <c r="O17" s="152"/>
      <c r="P17" s="152"/>
      <c r="Q17" s="152"/>
      <c r="R17" s="153"/>
    </row>
    <row r="18" spans="1:18" ht="3.65" customHeight="1" x14ac:dyDescent="0.25">
      <c r="I18" s="154"/>
      <c r="J18" s="151"/>
      <c r="K18" s="154"/>
      <c r="L18" s="154"/>
      <c r="M18" s="155"/>
      <c r="N18" s="155"/>
      <c r="O18" s="155"/>
      <c r="P18" s="155"/>
      <c r="Q18" s="155"/>
      <c r="R18" s="156"/>
    </row>
    <row r="19" spans="1:18" ht="38.25" customHeight="1" x14ac:dyDescent="0.25">
      <c r="B19" s="157" t="s">
        <v>53</v>
      </c>
      <c r="C19" s="209" t="s">
        <v>4</v>
      </c>
      <c r="D19" s="209" t="s">
        <v>5</v>
      </c>
      <c r="E19" s="202" t="s">
        <v>0</v>
      </c>
      <c r="F19" s="203" t="s">
        <v>12</v>
      </c>
      <c r="G19" s="210" t="s">
        <v>1</v>
      </c>
      <c r="H19" s="158" t="s">
        <v>48</v>
      </c>
      <c r="I19" s="158" t="s">
        <v>46</v>
      </c>
      <c r="J19" s="159" t="str">
        <f>"True-Up Charge"</f>
        <v>True-Up Charge</v>
      </c>
      <c r="K19" s="159" t="s">
        <v>47</v>
      </c>
      <c r="L19" s="160" t="s">
        <v>3</v>
      </c>
      <c r="M19" s="161" t="s">
        <v>7</v>
      </c>
      <c r="N19" s="162" t="s">
        <v>96</v>
      </c>
      <c r="O19" s="162" t="s">
        <v>84</v>
      </c>
      <c r="P19" s="162" t="s">
        <v>85</v>
      </c>
      <c r="Q19" s="162" t="s">
        <v>86</v>
      </c>
      <c r="R19" s="163" t="s">
        <v>2</v>
      </c>
    </row>
    <row r="20" spans="1:18" s="50" customFormat="1" ht="12.75" customHeight="1" x14ac:dyDescent="0.25">
      <c r="A20" s="93">
        <v>1</v>
      </c>
      <c r="B20" s="164">
        <f>DATE($R$1,A20,1)</f>
        <v>45292</v>
      </c>
      <c r="C20" s="204">
        <v>45327</v>
      </c>
      <c r="D20" s="204">
        <v>45348</v>
      </c>
      <c r="E20" s="165" t="s">
        <v>21</v>
      </c>
      <c r="F20" s="93">
        <v>9</v>
      </c>
      <c r="G20" s="166">
        <v>3252</v>
      </c>
      <c r="H20" s="167">
        <f>+$K$3</f>
        <v>9.9985597205614507</v>
      </c>
      <c r="I20" s="167">
        <f t="shared" ref="I20:I63" si="1">$J$3</f>
        <v>10.866487145184125</v>
      </c>
      <c r="J20" s="168">
        <f t="shared" ref="J20:J108" si="2">+$G20*I20</f>
        <v>35337.816196138774</v>
      </c>
      <c r="K20" s="169">
        <f>+$G20*H20</f>
        <v>32515.316211265839</v>
      </c>
      <c r="L20" s="170">
        <f t="shared" ref="L20:L34" si="3">+J20-K20</f>
        <v>2822.4999848729349</v>
      </c>
      <c r="M20" s="171">
        <f>G20/$G$212*$M$14</f>
        <v>226.77509051825132</v>
      </c>
      <c r="N20" s="172">
        <f>SUM(L20:M20)</f>
        <v>3049.275075391186</v>
      </c>
      <c r="O20" s="171">
        <v>0</v>
      </c>
      <c r="P20" s="171">
        <v>0</v>
      </c>
      <c r="Q20" s="171">
        <v>0</v>
      </c>
      <c r="R20" s="172">
        <f>+N20-Q20</f>
        <v>3049.275075391186</v>
      </c>
    </row>
    <row r="21" spans="1:18" x14ac:dyDescent="0.25">
      <c r="A21" s="129">
        <v>2</v>
      </c>
      <c r="B21" s="164">
        <f t="shared" ref="B21:B108" si="4">DATE($R$1,A21,1)</f>
        <v>45323</v>
      </c>
      <c r="C21" s="204">
        <v>45356</v>
      </c>
      <c r="D21" s="204">
        <v>45376</v>
      </c>
      <c r="E21" s="173" t="s">
        <v>21</v>
      </c>
      <c r="F21" s="129">
        <v>9</v>
      </c>
      <c r="G21" s="166">
        <v>2338</v>
      </c>
      <c r="H21" s="167">
        <f t="shared" ref="H21:H84" si="5">+$K$3</f>
        <v>9.9985597205614507</v>
      </c>
      <c r="I21" s="167">
        <f t="shared" si="1"/>
        <v>10.866487145184125</v>
      </c>
      <c r="J21" s="168">
        <f t="shared" si="2"/>
        <v>25405.846945440484</v>
      </c>
      <c r="K21" s="169">
        <f t="shared" ref="K21:K33" si="6">+$G21*H21</f>
        <v>23376.632626672672</v>
      </c>
      <c r="L21" s="170">
        <f t="shared" si="3"/>
        <v>2029.2143187678121</v>
      </c>
      <c r="M21" s="171">
        <f t="shared" ref="M21:M84" si="7">G21/$G$212*$M$14</f>
        <v>163.03818008353986</v>
      </c>
      <c r="N21" s="172">
        <f t="shared" ref="N21:N84" si="8">SUM(L21:M21)</f>
        <v>2192.2524988513519</v>
      </c>
      <c r="O21" s="171">
        <v>0</v>
      </c>
      <c r="P21" s="171">
        <v>0</v>
      </c>
      <c r="Q21" s="171">
        <v>0</v>
      </c>
      <c r="R21" s="172">
        <f t="shared" ref="R21:R84" si="9">+N21-Q21</f>
        <v>2192.2524988513519</v>
      </c>
    </row>
    <row r="22" spans="1:18" x14ac:dyDescent="0.25">
      <c r="A22" s="129">
        <v>3</v>
      </c>
      <c r="B22" s="164">
        <f t="shared" si="4"/>
        <v>45352</v>
      </c>
      <c r="C22" s="204">
        <v>45385</v>
      </c>
      <c r="D22" s="204">
        <v>45406</v>
      </c>
      <c r="E22" s="173" t="s">
        <v>21</v>
      </c>
      <c r="F22" s="129">
        <v>9</v>
      </c>
      <c r="G22" s="166">
        <v>2216</v>
      </c>
      <c r="H22" s="167">
        <f t="shared" si="5"/>
        <v>9.9985597205614507</v>
      </c>
      <c r="I22" s="167">
        <f t="shared" si="1"/>
        <v>10.866487145184125</v>
      </c>
      <c r="J22" s="168">
        <f t="shared" si="2"/>
        <v>24080.135513728022</v>
      </c>
      <c r="K22" s="169">
        <f t="shared" si="6"/>
        <v>22156.808340764175</v>
      </c>
      <c r="L22" s="170">
        <f t="shared" si="3"/>
        <v>1923.3271729638473</v>
      </c>
      <c r="M22" s="171">
        <f t="shared" si="7"/>
        <v>154.53062748722169</v>
      </c>
      <c r="N22" s="172">
        <f t="shared" si="8"/>
        <v>2077.8578004510691</v>
      </c>
      <c r="O22" s="171">
        <v>0</v>
      </c>
      <c r="P22" s="171">
        <v>0</v>
      </c>
      <c r="Q22" s="171">
        <v>0</v>
      </c>
      <c r="R22" s="172">
        <f t="shared" si="9"/>
        <v>2077.8578004510691</v>
      </c>
    </row>
    <row r="23" spans="1:18" x14ac:dyDescent="0.25">
      <c r="A23" s="93">
        <v>4</v>
      </c>
      <c r="B23" s="164">
        <f t="shared" si="4"/>
        <v>45383</v>
      </c>
      <c r="C23" s="204">
        <v>45415</v>
      </c>
      <c r="D23" s="204">
        <v>45436</v>
      </c>
      <c r="E23" s="173" t="s">
        <v>21</v>
      </c>
      <c r="F23" s="129">
        <v>9</v>
      </c>
      <c r="G23" s="166">
        <v>2777</v>
      </c>
      <c r="H23" s="167">
        <f t="shared" si="5"/>
        <v>9.9985597205614507</v>
      </c>
      <c r="I23" s="167">
        <f t="shared" si="1"/>
        <v>10.866487145184125</v>
      </c>
      <c r="J23" s="168">
        <f t="shared" si="2"/>
        <v>30176.234802176317</v>
      </c>
      <c r="K23" s="169">
        <f t="shared" si="6"/>
        <v>27766.000343999149</v>
      </c>
      <c r="L23" s="170">
        <f t="shared" si="3"/>
        <v>2410.2344581771686</v>
      </c>
      <c r="M23" s="171">
        <f t="shared" si="7"/>
        <v>193.65142262275029</v>
      </c>
      <c r="N23" s="172">
        <f t="shared" si="8"/>
        <v>2603.8858807999191</v>
      </c>
      <c r="O23" s="171">
        <v>0</v>
      </c>
      <c r="P23" s="171">
        <v>0</v>
      </c>
      <c r="Q23" s="171">
        <v>0</v>
      </c>
      <c r="R23" s="172">
        <f t="shared" si="9"/>
        <v>2603.8858807999191</v>
      </c>
    </row>
    <row r="24" spans="1:18" ht="12" customHeight="1" x14ac:dyDescent="0.25">
      <c r="A24" s="129">
        <v>5</v>
      </c>
      <c r="B24" s="164">
        <f t="shared" si="4"/>
        <v>45413</v>
      </c>
      <c r="C24" s="204">
        <v>45448</v>
      </c>
      <c r="D24" s="204">
        <v>45467</v>
      </c>
      <c r="E24" s="52" t="s">
        <v>21</v>
      </c>
      <c r="F24" s="129">
        <v>9</v>
      </c>
      <c r="G24" s="166">
        <v>3245</v>
      </c>
      <c r="H24" s="167">
        <f t="shared" si="5"/>
        <v>9.9985597205614507</v>
      </c>
      <c r="I24" s="167">
        <f t="shared" si="1"/>
        <v>10.866487145184125</v>
      </c>
      <c r="J24" s="168">
        <f t="shared" si="2"/>
        <v>35261.750786122488</v>
      </c>
      <c r="K24" s="169">
        <f t="shared" si="6"/>
        <v>32445.326293221908</v>
      </c>
      <c r="L24" s="170">
        <f t="shared" si="3"/>
        <v>2816.4244929005799</v>
      </c>
      <c r="M24" s="171">
        <f t="shared" si="7"/>
        <v>226.28695225452813</v>
      </c>
      <c r="N24" s="172">
        <f t="shared" si="8"/>
        <v>3042.7114451551079</v>
      </c>
      <c r="O24" s="171">
        <v>0</v>
      </c>
      <c r="P24" s="171">
        <v>0</v>
      </c>
      <c r="Q24" s="171">
        <v>0</v>
      </c>
      <c r="R24" s="172">
        <f t="shared" si="9"/>
        <v>3042.7114451551079</v>
      </c>
    </row>
    <row r="25" spans="1:18" x14ac:dyDescent="0.25">
      <c r="A25" s="129">
        <v>6</v>
      </c>
      <c r="B25" s="164">
        <f t="shared" si="4"/>
        <v>45444</v>
      </c>
      <c r="C25" s="204">
        <v>45476</v>
      </c>
      <c r="D25" s="204">
        <v>45497</v>
      </c>
      <c r="E25" s="52" t="s">
        <v>21</v>
      </c>
      <c r="F25" s="129">
        <v>9</v>
      </c>
      <c r="G25" s="166">
        <v>4080</v>
      </c>
      <c r="H25" s="167">
        <f t="shared" si="5"/>
        <v>9.9985597205614507</v>
      </c>
      <c r="I25" s="167">
        <f t="shared" si="1"/>
        <v>10.866487145184125</v>
      </c>
      <c r="J25" s="168">
        <f t="shared" si="2"/>
        <v>44335.26755235123</v>
      </c>
      <c r="K25" s="169">
        <f t="shared" si="6"/>
        <v>40794.12365989072</v>
      </c>
      <c r="L25" s="174">
        <f t="shared" si="3"/>
        <v>3541.14389246051</v>
      </c>
      <c r="M25" s="171">
        <f t="shared" si="7"/>
        <v>284.51487371293524</v>
      </c>
      <c r="N25" s="172">
        <f t="shared" si="8"/>
        <v>3825.6587661734452</v>
      </c>
      <c r="O25" s="171">
        <v>0</v>
      </c>
      <c r="P25" s="171">
        <v>0</v>
      </c>
      <c r="Q25" s="171">
        <v>0</v>
      </c>
      <c r="R25" s="172">
        <f t="shared" si="9"/>
        <v>3825.6587661734452</v>
      </c>
    </row>
    <row r="26" spans="1:18" x14ac:dyDescent="0.25">
      <c r="A26" s="93">
        <v>7</v>
      </c>
      <c r="B26" s="164">
        <f t="shared" si="4"/>
        <v>45474</v>
      </c>
      <c r="C26" s="204">
        <v>45509</v>
      </c>
      <c r="D26" s="204">
        <v>45530</v>
      </c>
      <c r="E26" s="52" t="s">
        <v>21</v>
      </c>
      <c r="F26" s="129">
        <v>9</v>
      </c>
      <c r="G26" s="166">
        <v>4149</v>
      </c>
      <c r="H26" s="167">
        <f t="shared" si="5"/>
        <v>9.9985597205614507</v>
      </c>
      <c r="I26" s="167">
        <f t="shared" si="1"/>
        <v>10.866487145184125</v>
      </c>
      <c r="J26" s="168">
        <f t="shared" si="2"/>
        <v>45085.055165368933</v>
      </c>
      <c r="K26" s="175">
        <f t="shared" si="6"/>
        <v>41484.024280609461</v>
      </c>
      <c r="L26" s="174">
        <f t="shared" si="3"/>
        <v>3601.0308847594715</v>
      </c>
      <c r="M26" s="171">
        <f t="shared" si="7"/>
        <v>289.32652231249222</v>
      </c>
      <c r="N26" s="172">
        <f t="shared" si="8"/>
        <v>3890.3574070719637</v>
      </c>
      <c r="O26" s="171">
        <v>0</v>
      </c>
      <c r="P26" s="171">
        <v>0</v>
      </c>
      <c r="Q26" s="171">
        <v>0</v>
      </c>
      <c r="R26" s="172">
        <f t="shared" si="9"/>
        <v>3890.3574070719637</v>
      </c>
    </row>
    <row r="27" spans="1:18" x14ac:dyDescent="0.25">
      <c r="A27" s="129">
        <v>8</v>
      </c>
      <c r="B27" s="164">
        <f t="shared" si="4"/>
        <v>45505</v>
      </c>
      <c r="C27" s="204">
        <v>45539</v>
      </c>
      <c r="D27" s="204">
        <v>45559</v>
      </c>
      <c r="E27" s="52" t="s">
        <v>21</v>
      </c>
      <c r="F27" s="129">
        <v>9</v>
      </c>
      <c r="G27" s="166">
        <v>4151</v>
      </c>
      <c r="H27" s="167">
        <f t="shared" si="5"/>
        <v>9.9985597205614507</v>
      </c>
      <c r="I27" s="167">
        <f t="shared" si="1"/>
        <v>10.866487145184125</v>
      </c>
      <c r="J27" s="168">
        <f t="shared" si="2"/>
        <v>45106.788139659307</v>
      </c>
      <c r="K27" s="175">
        <f t="shared" si="6"/>
        <v>41504.02140005058</v>
      </c>
      <c r="L27" s="174">
        <f t="shared" si="3"/>
        <v>3602.7667396087272</v>
      </c>
      <c r="M27" s="171">
        <f t="shared" si="7"/>
        <v>289.46599038784171</v>
      </c>
      <c r="N27" s="172">
        <f t="shared" si="8"/>
        <v>3892.2327299965691</v>
      </c>
      <c r="O27" s="171">
        <v>0</v>
      </c>
      <c r="P27" s="171">
        <v>0</v>
      </c>
      <c r="Q27" s="171">
        <v>0</v>
      </c>
      <c r="R27" s="172">
        <f t="shared" si="9"/>
        <v>3892.2327299965691</v>
      </c>
    </row>
    <row r="28" spans="1:18" x14ac:dyDescent="0.25">
      <c r="A28" s="129">
        <v>9</v>
      </c>
      <c r="B28" s="164">
        <f t="shared" si="4"/>
        <v>45536</v>
      </c>
      <c r="C28" s="204">
        <v>45568</v>
      </c>
      <c r="D28" s="204">
        <v>45589</v>
      </c>
      <c r="E28" s="52" t="s">
        <v>21</v>
      </c>
      <c r="F28" s="129">
        <v>9</v>
      </c>
      <c r="G28" s="166">
        <v>3859</v>
      </c>
      <c r="H28" s="167">
        <f t="shared" si="5"/>
        <v>9.9985597205614507</v>
      </c>
      <c r="I28" s="167">
        <f t="shared" si="1"/>
        <v>10.866487145184125</v>
      </c>
      <c r="J28" s="168">
        <f t="shared" si="2"/>
        <v>41933.773893265541</v>
      </c>
      <c r="K28" s="175">
        <f t="shared" si="6"/>
        <v>38584.44196164664</v>
      </c>
      <c r="L28" s="174">
        <f t="shared" si="3"/>
        <v>3349.3319316189009</v>
      </c>
      <c r="M28" s="171">
        <f t="shared" si="7"/>
        <v>269.10365138681794</v>
      </c>
      <c r="N28" s="172">
        <f t="shared" si="8"/>
        <v>3618.4355830057189</v>
      </c>
      <c r="O28" s="171">
        <v>0</v>
      </c>
      <c r="P28" s="171">
        <v>0</v>
      </c>
      <c r="Q28" s="171">
        <v>0</v>
      </c>
      <c r="R28" s="172">
        <f t="shared" si="9"/>
        <v>3618.4355830057189</v>
      </c>
    </row>
    <row r="29" spans="1:18" x14ac:dyDescent="0.25">
      <c r="A29" s="93">
        <v>10</v>
      </c>
      <c r="B29" s="164">
        <f t="shared" si="4"/>
        <v>45566</v>
      </c>
      <c r="C29" s="204">
        <v>45601</v>
      </c>
      <c r="D29" s="204">
        <v>45621</v>
      </c>
      <c r="E29" s="52" t="s">
        <v>21</v>
      </c>
      <c r="F29" s="129">
        <v>9</v>
      </c>
      <c r="G29" s="166">
        <v>3429</v>
      </c>
      <c r="H29" s="167">
        <f t="shared" si="5"/>
        <v>9.9985597205614507</v>
      </c>
      <c r="I29" s="167">
        <f t="shared" si="1"/>
        <v>10.866487145184125</v>
      </c>
      <c r="J29" s="168">
        <f t="shared" si="2"/>
        <v>37261.184420836369</v>
      </c>
      <c r="K29" s="175">
        <f t="shared" si="6"/>
        <v>34285.061281805218</v>
      </c>
      <c r="L29" s="174">
        <f t="shared" si="3"/>
        <v>2976.1231390311514</v>
      </c>
      <c r="M29" s="171">
        <f t="shared" si="7"/>
        <v>239.11801518668014</v>
      </c>
      <c r="N29" s="172">
        <f t="shared" si="8"/>
        <v>3215.2411542178315</v>
      </c>
      <c r="O29" s="171">
        <v>0</v>
      </c>
      <c r="P29" s="171">
        <v>0</v>
      </c>
      <c r="Q29" s="171">
        <v>0</v>
      </c>
      <c r="R29" s="172">
        <f t="shared" si="9"/>
        <v>3215.2411542178315</v>
      </c>
    </row>
    <row r="30" spans="1:18" x14ac:dyDescent="0.25">
      <c r="A30" s="129">
        <v>11</v>
      </c>
      <c r="B30" s="164">
        <f t="shared" si="4"/>
        <v>45597</v>
      </c>
      <c r="C30" s="204">
        <v>45630</v>
      </c>
      <c r="D30" s="204">
        <v>45650</v>
      </c>
      <c r="E30" s="52" t="s">
        <v>21</v>
      </c>
      <c r="F30" s="129">
        <v>9</v>
      </c>
      <c r="G30" s="166">
        <v>2220</v>
      </c>
      <c r="H30" s="167">
        <f t="shared" si="5"/>
        <v>9.9985597205614507</v>
      </c>
      <c r="I30" s="167">
        <f t="shared" si="1"/>
        <v>10.866487145184125</v>
      </c>
      <c r="J30" s="168">
        <f t="shared" si="2"/>
        <v>24123.601462308758</v>
      </c>
      <c r="K30" s="175">
        <f t="shared" si="6"/>
        <v>22196.802579646421</v>
      </c>
      <c r="L30" s="174">
        <f t="shared" si="3"/>
        <v>1926.7988826623368</v>
      </c>
      <c r="M30" s="171">
        <f t="shared" si="7"/>
        <v>154.80956363792066</v>
      </c>
      <c r="N30" s="172">
        <f t="shared" si="8"/>
        <v>2081.6084463002576</v>
      </c>
      <c r="O30" s="171">
        <v>0</v>
      </c>
      <c r="P30" s="171">
        <v>0</v>
      </c>
      <c r="Q30" s="171">
        <v>0</v>
      </c>
      <c r="R30" s="172">
        <f t="shared" si="9"/>
        <v>2081.6084463002576</v>
      </c>
    </row>
    <row r="31" spans="1:18" x14ac:dyDescent="0.25">
      <c r="A31" s="129">
        <v>12</v>
      </c>
      <c r="B31" s="164">
        <f t="shared" si="4"/>
        <v>45627</v>
      </c>
      <c r="C31" s="205">
        <v>45660</v>
      </c>
      <c r="D31" s="206">
        <v>45681</v>
      </c>
      <c r="E31" s="52" t="s">
        <v>21</v>
      </c>
      <c r="F31" s="129">
        <v>9</v>
      </c>
      <c r="G31" s="166">
        <v>2569</v>
      </c>
      <c r="H31" s="176">
        <f t="shared" si="5"/>
        <v>9.9985597205614507</v>
      </c>
      <c r="I31" s="176">
        <f t="shared" si="1"/>
        <v>10.866487145184125</v>
      </c>
      <c r="J31" s="177">
        <f t="shared" si="2"/>
        <v>27916.005475978018</v>
      </c>
      <c r="K31" s="178">
        <f t="shared" si="6"/>
        <v>25686.299922122365</v>
      </c>
      <c r="L31" s="179">
        <f t="shared" si="3"/>
        <v>2229.7055538556524</v>
      </c>
      <c r="M31" s="171">
        <f t="shared" si="7"/>
        <v>179.14674278640456</v>
      </c>
      <c r="N31" s="172">
        <f t="shared" si="8"/>
        <v>2408.8522966420569</v>
      </c>
      <c r="O31" s="171">
        <v>0</v>
      </c>
      <c r="P31" s="171">
        <v>0</v>
      </c>
      <c r="Q31" s="171">
        <v>0</v>
      </c>
      <c r="R31" s="172">
        <f t="shared" si="9"/>
        <v>2408.8522966420569</v>
      </c>
    </row>
    <row r="32" spans="1:18" x14ac:dyDescent="0.25">
      <c r="A32" s="93">
        <v>1</v>
      </c>
      <c r="B32" s="180">
        <f t="shared" si="4"/>
        <v>45292</v>
      </c>
      <c r="C32" s="181">
        <f t="shared" ref="C32:D43" si="10">+C20</f>
        <v>45327</v>
      </c>
      <c r="D32" s="181">
        <f t="shared" si="10"/>
        <v>45348</v>
      </c>
      <c r="E32" s="182" t="s">
        <v>22</v>
      </c>
      <c r="F32" s="183">
        <v>9</v>
      </c>
      <c r="G32" s="166">
        <v>3306</v>
      </c>
      <c r="H32" s="167">
        <f t="shared" si="5"/>
        <v>9.9985597205614507</v>
      </c>
      <c r="I32" s="167">
        <f t="shared" si="1"/>
        <v>10.866487145184125</v>
      </c>
      <c r="J32" s="168">
        <f t="shared" si="2"/>
        <v>35924.60650197872</v>
      </c>
      <c r="K32" s="169">
        <f t="shared" si="6"/>
        <v>33055.238436176158</v>
      </c>
      <c r="L32" s="170">
        <f t="shared" si="3"/>
        <v>2869.3680658025623</v>
      </c>
      <c r="M32" s="171">
        <f t="shared" si="7"/>
        <v>230.54072855268726</v>
      </c>
      <c r="N32" s="172">
        <f t="shared" si="8"/>
        <v>3099.9087943552495</v>
      </c>
      <c r="O32" s="171">
        <v>0</v>
      </c>
      <c r="P32" s="171">
        <v>0</v>
      </c>
      <c r="Q32" s="171">
        <v>0</v>
      </c>
      <c r="R32" s="172">
        <f t="shared" si="9"/>
        <v>3099.9087943552495</v>
      </c>
    </row>
    <row r="33" spans="1:18" x14ac:dyDescent="0.25">
      <c r="A33" s="129">
        <v>2</v>
      </c>
      <c r="B33" s="164">
        <f t="shared" si="4"/>
        <v>45323</v>
      </c>
      <c r="C33" s="184">
        <f t="shared" si="10"/>
        <v>45356</v>
      </c>
      <c r="D33" s="184">
        <f t="shared" si="10"/>
        <v>45376</v>
      </c>
      <c r="E33" s="173" t="s">
        <v>22</v>
      </c>
      <c r="F33" s="129">
        <v>9</v>
      </c>
      <c r="G33" s="166">
        <v>2611</v>
      </c>
      <c r="H33" s="167">
        <f t="shared" si="5"/>
        <v>9.9985597205614507</v>
      </c>
      <c r="I33" s="167">
        <f t="shared" si="1"/>
        <v>10.866487145184125</v>
      </c>
      <c r="J33" s="168">
        <f t="shared" si="2"/>
        <v>28372.397936075751</v>
      </c>
      <c r="K33" s="169">
        <f t="shared" si="6"/>
        <v>26106.239430385947</v>
      </c>
      <c r="L33" s="170">
        <f t="shared" si="3"/>
        <v>2266.1585056898039</v>
      </c>
      <c r="M33" s="171">
        <f t="shared" si="7"/>
        <v>182.07557236874359</v>
      </c>
      <c r="N33" s="172">
        <f t="shared" si="8"/>
        <v>2448.2340780585473</v>
      </c>
      <c r="O33" s="171">
        <v>0</v>
      </c>
      <c r="P33" s="171">
        <v>0</v>
      </c>
      <c r="Q33" s="171">
        <v>0</v>
      </c>
      <c r="R33" s="172">
        <f t="shared" si="9"/>
        <v>2448.2340780585473</v>
      </c>
    </row>
    <row r="34" spans="1:18" x14ac:dyDescent="0.25">
      <c r="A34" s="129">
        <v>3</v>
      </c>
      <c r="B34" s="164">
        <f t="shared" si="4"/>
        <v>45352</v>
      </c>
      <c r="C34" s="184">
        <f t="shared" si="10"/>
        <v>45385</v>
      </c>
      <c r="D34" s="184">
        <f t="shared" si="10"/>
        <v>45406</v>
      </c>
      <c r="E34" s="173" t="s">
        <v>22</v>
      </c>
      <c r="F34" s="129">
        <v>9</v>
      </c>
      <c r="G34" s="166">
        <v>2302</v>
      </c>
      <c r="H34" s="167">
        <f t="shared" si="5"/>
        <v>9.9985597205614507</v>
      </c>
      <c r="I34" s="167">
        <f t="shared" si="1"/>
        <v>10.866487145184125</v>
      </c>
      <c r="J34" s="168">
        <f t="shared" si="2"/>
        <v>25014.653408213857</v>
      </c>
      <c r="K34" s="169">
        <f t="shared" ref="K34:K93" si="11">+$G34*H34</f>
        <v>23016.684476732458</v>
      </c>
      <c r="L34" s="170">
        <f t="shared" si="3"/>
        <v>1997.9689314813986</v>
      </c>
      <c r="M34" s="171">
        <f t="shared" si="7"/>
        <v>160.52775472724923</v>
      </c>
      <c r="N34" s="172">
        <f t="shared" si="8"/>
        <v>2158.496686208648</v>
      </c>
      <c r="O34" s="171">
        <v>0</v>
      </c>
      <c r="P34" s="171">
        <v>0</v>
      </c>
      <c r="Q34" s="171">
        <v>0</v>
      </c>
      <c r="R34" s="172">
        <f t="shared" si="9"/>
        <v>2158.496686208648</v>
      </c>
    </row>
    <row r="35" spans="1:18" x14ac:dyDescent="0.25">
      <c r="A35" s="93">
        <v>4</v>
      </c>
      <c r="B35" s="164">
        <f t="shared" si="4"/>
        <v>45383</v>
      </c>
      <c r="C35" s="184">
        <f t="shared" si="10"/>
        <v>45415</v>
      </c>
      <c r="D35" s="184">
        <f t="shared" si="10"/>
        <v>45436</v>
      </c>
      <c r="E35" s="173" t="s">
        <v>22</v>
      </c>
      <c r="F35" s="129">
        <v>9</v>
      </c>
      <c r="G35" s="166">
        <v>2486</v>
      </c>
      <c r="H35" s="167">
        <f t="shared" si="5"/>
        <v>9.9985597205614507</v>
      </c>
      <c r="I35" s="167">
        <f t="shared" si="1"/>
        <v>10.866487145184125</v>
      </c>
      <c r="J35" s="168">
        <f t="shared" si="2"/>
        <v>27014.087042927735</v>
      </c>
      <c r="K35" s="169">
        <f t="shared" si="11"/>
        <v>24856.419465315765</v>
      </c>
      <c r="L35" s="170">
        <f t="shared" ref="L35:L57" si="12">+J35-K35</f>
        <v>2157.66757761197</v>
      </c>
      <c r="M35" s="171">
        <f t="shared" si="7"/>
        <v>173.35881765940124</v>
      </c>
      <c r="N35" s="172">
        <f t="shared" si="8"/>
        <v>2331.0263952713713</v>
      </c>
      <c r="O35" s="171">
        <v>0</v>
      </c>
      <c r="P35" s="171">
        <v>0</v>
      </c>
      <c r="Q35" s="171">
        <v>0</v>
      </c>
      <c r="R35" s="172">
        <f t="shared" si="9"/>
        <v>2331.0263952713713</v>
      </c>
    </row>
    <row r="36" spans="1:18" x14ac:dyDescent="0.25">
      <c r="A36" s="129">
        <v>5</v>
      </c>
      <c r="B36" s="164">
        <f t="shared" si="4"/>
        <v>45413</v>
      </c>
      <c r="C36" s="184">
        <f t="shared" si="10"/>
        <v>45448</v>
      </c>
      <c r="D36" s="184">
        <f t="shared" si="10"/>
        <v>45467</v>
      </c>
      <c r="E36" s="52" t="s">
        <v>22</v>
      </c>
      <c r="F36" s="129">
        <v>9</v>
      </c>
      <c r="G36" s="166">
        <v>2970</v>
      </c>
      <c r="H36" s="167">
        <f t="shared" si="5"/>
        <v>9.9985597205614507</v>
      </c>
      <c r="I36" s="167">
        <f t="shared" si="1"/>
        <v>10.866487145184125</v>
      </c>
      <c r="J36" s="168">
        <f t="shared" si="2"/>
        <v>32273.466821196853</v>
      </c>
      <c r="K36" s="169">
        <f t="shared" si="11"/>
        <v>29695.722370067509</v>
      </c>
      <c r="L36" s="170">
        <f t="shared" si="12"/>
        <v>2577.7444511293434</v>
      </c>
      <c r="M36" s="171">
        <f t="shared" si="7"/>
        <v>207.11009189397492</v>
      </c>
      <c r="N36" s="172">
        <f t="shared" si="8"/>
        <v>2784.8545430233185</v>
      </c>
      <c r="O36" s="171">
        <v>0</v>
      </c>
      <c r="P36" s="171">
        <v>0</v>
      </c>
      <c r="Q36" s="171">
        <v>0</v>
      </c>
      <c r="R36" s="172">
        <f t="shared" si="9"/>
        <v>2784.8545430233185</v>
      </c>
    </row>
    <row r="37" spans="1:18" x14ac:dyDescent="0.25">
      <c r="A37" s="129">
        <v>6</v>
      </c>
      <c r="B37" s="164">
        <f t="shared" si="4"/>
        <v>45444</v>
      </c>
      <c r="C37" s="184">
        <f t="shared" si="10"/>
        <v>45476</v>
      </c>
      <c r="D37" s="184">
        <f t="shared" si="10"/>
        <v>45497</v>
      </c>
      <c r="E37" s="52" t="s">
        <v>22</v>
      </c>
      <c r="F37" s="129">
        <v>9</v>
      </c>
      <c r="G37" s="166">
        <v>3483</v>
      </c>
      <c r="H37" s="167">
        <f t="shared" si="5"/>
        <v>9.9985597205614507</v>
      </c>
      <c r="I37" s="167">
        <f t="shared" si="1"/>
        <v>10.866487145184125</v>
      </c>
      <c r="J37" s="168">
        <f t="shared" si="2"/>
        <v>37847.974726676308</v>
      </c>
      <c r="K37" s="169">
        <f t="shared" si="11"/>
        <v>34824.983506715536</v>
      </c>
      <c r="L37" s="174">
        <f t="shared" si="12"/>
        <v>3022.9912199607716</v>
      </c>
      <c r="M37" s="171">
        <f t="shared" si="7"/>
        <v>242.88365322111602</v>
      </c>
      <c r="N37" s="172">
        <f t="shared" si="8"/>
        <v>3265.8748731818878</v>
      </c>
      <c r="O37" s="171">
        <v>0</v>
      </c>
      <c r="P37" s="171">
        <v>0</v>
      </c>
      <c r="Q37" s="171">
        <v>0</v>
      </c>
      <c r="R37" s="172">
        <f t="shared" si="9"/>
        <v>3265.8748731818878</v>
      </c>
    </row>
    <row r="38" spans="1:18" x14ac:dyDescent="0.25">
      <c r="A38" s="93">
        <v>7</v>
      </c>
      <c r="B38" s="164">
        <f t="shared" si="4"/>
        <v>45474</v>
      </c>
      <c r="C38" s="184">
        <f t="shared" si="10"/>
        <v>45509</v>
      </c>
      <c r="D38" s="184">
        <f t="shared" si="10"/>
        <v>45530</v>
      </c>
      <c r="E38" s="52" t="s">
        <v>22</v>
      </c>
      <c r="F38" s="129">
        <v>9</v>
      </c>
      <c r="G38" s="166">
        <v>3510</v>
      </c>
      <c r="H38" s="167">
        <f t="shared" si="5"/>
        <v>9.9985597205614507</v>
      </c>
      <c r="I38" s="167">
        <f t="shared" si="1"/>
        <v>10.866487145184125</v>
      </c>
      <c r="J38" s="168">
        <f t="shared" si="2"/>
        <v>38141.369879596277</v>
      </c>
      <c r="K38" s="175">
        <f t="shared" si="11"/>
        <v>35094.944619170688</v>
      </c>
      <c r="L38" s="174">
        <f t="shared" si="12"/>
        <v>3046.4252604255889</v>
      </c>
      <c r="M38" s="171">
        <f t="shared" si="7"/>
        <v>244.76647223833399</v>
      </c>
      <c r="N38" s="172">
        <f t="shared" si="8"/>
        <v>3291.1917326639227</v>
      </c>
      <c r="O38" s="171">
        <v>0</v>
      </c>
      <c r="P38" s="171">
        <v>0</v>
      </c>
      <c r="Q38" s="171">
        <v>0</v>
      </c>
      <c r="R38" s="172">
        <f t="shared" si="9"/>
        <v>3291.1917326639227</v>
      </c>
    </row>
    <row r="39" spans="1:18" x14ac:dyDescent="0.25">
      <c r="A39" s="129">
        <v>8</v>
      </c>
      <c r="B39" s="164">
        <f t="shared" si="4"/>
        <v>45505</v>
      </c>
      <c r="C39" s="184">
        <f t="shared" si="10"/>
        <v>45539</v>
      </c>
      <c r="D39" s="184">
        <f t="shared" si="10"/>
        <v>45559</v>
      </c>
      <c r="E39" s="52" t="s">
        <v>22</v>
      </c>
      <c r="F39" s="129">
        <v>9</v>
      </c>
      <c r="G39" s="166">
        <v>3574</v>
      </c>
      <c r="H39" s="167">
        <f t="shared" si="5"/>
        <v>9.9985597205614507</v>
      </c>
      <c r="I39" s="167">
        <f t="shared" si="1"/>
        <v>10.866487145184125</v>
      </c>
      <c r="J39" s="168">
        <f t="shared" si="2"/>
        <v>38836.825056888061</v>
      </c>
      <c r="K39" s="175">
        <f t="shared" si="11"/>
        <v>35734.852441286625</v>
      </c>
      <c r="L39" s="174">
        <f t="shared" si="12"/>
        <v>3101.9726156014367</v>
      </c>
      <c r="M39" s="171">
        <f t="shared" si="7"/>
        <v>249.2294506495173</v>
      </c>
      <c r="N39" s="172">
        <f t="shared" si="8"/>
        <v>3351.202066250954</v>
      </c>
      <c r="O39" s="171">
        <v>0</v>
      </c>
      <c r="P39" s="171">
        <v>0</v>
      </c>
      <c r="Q39" s="171">
        <v>0</v>
      </c>
      <c r="R39" s="172">
        <f t="shared" si="9"/>
        <v>3351.202066250954</v>
      </c>
    </row>
    <row r="40" spans="1:18" x14ac:dyDescent="0.25">
      <c r="A40" s="129">
        <v>9</v>
      </c>
      <c r="B40" s="164">
        <f t="shared" si="4"/>
        <v>45536</v>
      </c>
      <c r="C40" s="184">
        <f t="shared" si="10"/>
        <v>45568</v>
      </c>
      <c r="D40" s="184">
        <f t="shared" si="10"/>
        <v>45589</v>
      </c>
      <c r="E40" s="52" t="s">
        <v>22</v>
      </c>
      <c r="F40" s="129">
        <v>9</v>
      </c>
      <c r="G40" s="166">
        <v>3188</v>
      </c>
      <c r="H40" s="167">
        <f t="shared" si="5"/>
        <v>9.9985597205614507</v>
      </c>
      <c r="I40" s="167">
        <f t="shared" si="1"/>
        <v>10.866487145184125</v>
      </c>
      <c r="J40" s="168">
        <f t="shared" si="2"/>
        <v>34642.36101884699</v>
      </c>
      <c r="K40" s="175">
        <f t="shared" si="11"/>
        <v>31875.408389149903</v>
      </c>
      <c r="L40" s="174">
        <f t="shared" si="12"/>
        <v>2766.9526296970871</v>
      </c>
      <c r="M40" s="171">
        <f t="shared" si="7"/>
        <v>222.312112107068</v>
      </c>
      <c r="N40" s="172">
        <f t="shared" si="8"/>
        <v>2989.2647418041552</v>
      </c>
      <c r="O40" s="171">
        <v>0</v>
      </c>
      <c r="P40" s="171">
        <v>0</v>
      </c>
      <c r="Q40" s="171">
        <v>0</v>
      </c>
      <c r="R40" s="172">
        <f t="shared" si="9"/>
        <v>2989.2647418041552</v>
      </c>
    </row>
    <row r="41" spans="1:18" x14ac:dyDescent="0.25">
      <c r="A41" s="93">
        <v>10</v>
      </c>
      <c r="B41" s="164">
        <f t="shared" si="4"/>
        <v>45566</v>
      </c>
      <c r="C41" s="184">
        <f t="shared" si="10"/>
        <v>45601</v>
      </c>
      <c r="D41" s="184">
        <f t="shared" si="10"/>
        <v>45621</v>
      </c>
      <c r="E41" s="52" t="s">
        <v>22</v>
      </c>
      <c r="F41" s="129">
        <v>9</v>
      </c>
      <c r="G41" s="166">
        <v>2793</v>
      </c>
      <c r="H41" s="167">
        <f t="shared" si="5"/>
        <v>9.9985597205614507</v>
      </c>
      <c r="I41" s="167">
        <f t="shared" si="1"/>
        <v>10.866487145184125</v>
      </c>
      <c r="J41" s="168">
        <f t="shared" si="2"/>
        <v>30350.098596499261</v>
      </c>
      <c r="K41" s="175">
        <f t="shared" si="11"/>
        <v>27925.977299528131</v>
      </c>
      <c r="L41" s="174">
        <f t="shared" si="12"/>
        <v>2424.1212969711305</v>
      </c>
      <c r="M41" s="171">
        <f t="shared" si="7"/>
        <v>194.76716722554613</v>
      </c>
      <c r="N41" s="172">
        <f t="shared" si="8"/>
        <v>2618.8884641966765</v>
      </c>
      <c r="O41" s="171">
        <v>0</v>
      </c>
      <c r="P41" s="171">
        <v>0</v>
      </c>
      <c r="Q41" s="171">
        <v>0</v>
      </c>
      <c r="R41" s="172">
        <f t="shared" si="9"/>
        <v>2618.8884641966765</v>
      </c>
    </row>
    <row r="42" spans="1:18" x14ac:dyDescent="0.25">
      <c r="A42" s="129">
        <v>11</v>
      </c>
      <c r="B42" s="164">
        <f t="shared" si="4"/>
        <v>45597</v>
      </c>
      <c r="C42" s="184">
        <f t="shared" si="10"/>
        <v>45630</v>
      </c>
      <c r="D42" s="184">
        <f t="shared" si="10"/>
        <v>45650</v>
      </c>
      <c r="E42" s="52" t="s">
        <v>22</v>
      </c>
      <c r="F42" s="129">
        <v>9</v>
      </c>
      <c r="G42" s="166">
        <v>2339</v>
      </c>
      <c r="H42" s="167">
        <f t="shared" si="5"/>
        <v>9.9985597205614507</v>
      </c>
      <c r="I42" s="167">
        <f t="shared" si="1"/>
        <v>10.866487145184125</v>
      </c>
      <c r="J42" s="168">
        <f t="shared" si="2"/>
        <v>25416.713432585668</v>
      </c>
      <c r="K42" s="175">
        <f t="shared" si="11"/>
        <v>23386.631186393231</v>
      </c>
      <c r="L42" s="174">
        <f t="shared" si="12"/>
        <v>2030.0822461924363</v>
      </c>
      <c r="M42" s="171">
        <f t="shared" si="7"/>
        <v>163.10791412121461</v>
      </c>
      <c r="N42" s="172">
        <f t="shared" si="8"/>
        <v>2193.1901603136507</v>
      </c>
      <c r="O42" s="171">
        <v>0</v>
      </c>
      <c r="P42" s="171">
        <v>0</v>
      </c>
      <c r="Q42" s="171">
        <v>0</v>
      </c>
      <c r="R42" s="172">
        <f t="shared" si="9"/>
        <v>2193.1901603136507</v>
      </c>
    </row>
    <row r="43" spans="1:18" x14ac:dyDescent="0.25">
      <c r="A43" s="129">
        <v>12</v>
      </c>
      <c r="B43" s="164">
        <f t="shared" si="4"/>
        <v>45627</v>
      </c>
      <c r="C43" s="184">
        <f t="shared" si="10"/>
        <v>45660</v>
      </c>
      <c r="D43" s="184">
        <f t="shared" si="10"/>
        <v>45681</v>
      </c>
      <c r="E43" s="52" t="s">
        <v>22</v>
      </c>
      <c r="F43" s="129">
        <v>9</v>
      </c>
      <c r="G43" s="166">
        <v>2520</v>
      </c>
      <c r="H43" s="176">
        <f t="shared" si="5"/>
        <v>9.9985597205614507</v>
      </c>
      <c r="I43" s="176">
        <f t="shared" si="1"/>
        <v>10.866487145184125</v>
      </c>
      <c r="J43" s="177">
        <f t="shared" si="2"/>
        <v>27383.547605863994</v>
      </c>
      <c r="K43" s="178">
        <f t="shared" si="11"/>
        <v>25196.370495814856</v>
      </c>
      <c r="L43" s="179">
        <f t="shared" si="12"/>
        <v>2187.1771100491387</v>
      </c>
      <c r="M43" s="171">
        <f t="shared" si="7"/>
        <v>175.72977494034237</v>
      </c>
      <c r="N43" s="172">
        <f t="shared" si="8"/>
        <v>2362.9068849894811</v>
      </c>
      <c r="O43" s="171">
        <v>0</v>
      </c>
      <c r="P43" s="171">
        <v>0</v>
      </c>
      <c r="Q43" s="171">
        <v>0</v>
      </c>
      <c r="R43" s="172">
        <f t="shared" si="9"/>
        <v>2362.9068849894811</v>
      </c>
    </row>
    <row r="44" spans="1:18" x14ac:dyDescent="0.25">
      <c r="A44" s="93">
        <v>1</v>
      </c>
      <c r="B44" s="180">
        <f t="shared" ref="B44:B55" si="13">DATE($R$1,A44,1)</f>
        <v>45292</v>
      </c>
      <c r="C44" s="181">
        <f t="shared" ref="C44:D55" si="14">+C32</f>
        <v>45327</v>
      </c>
      <c r="D44" s="181">
        <f t="shared" si="14"/>
        <v>45348</v>
      </c>
      <c r="E44" s="182" t="s">
        <v>81</v>
      </c>
      <c r="F44" s="183">
        <v>9</v>
      </c>
      <c r="G44" s="166">
        <v>216</v>
      </c>
      <c r="H44" s="167">
        <f t="shared" si="5"/>
        <v>9.9985597205614507</v>
      </c>
      <c r="I44" s="167">
        <f t="shared" si="1"/>
        <v>10.866487145184125</v>
      </c>
      <c r="J44" s="171">
        <f t="shared" ref="J44:J55" si="15">+$G44*I44</f>
        <v>2347.1612233597712</v>
      </c>
      <c r="K44" s="175">
        <f t="shared" ref="K44:K55" si="16">+$G44*H44</f>
        <v>2159.6888996412736</v>
      </c>
      <c r="L44" s="174">
        <f t="shared" ref="L44:L55" si="17">+J44-K44</f>
        <v>187.47232371849759</v>
      </c>
      <c r="M44" s="171">
        <f t="shared" si="7"/>
        <v>15.062552137743632</v>
      </c>
      <c r="N44" s="172">
        <f t="shared" si="8"/>
        <v>202.53487585624123</v>
      </c>
      <c r="O44" s="171">
        <v>0</v>
      </c>
      <c r="P44" s="171">
        <v>0</v>
      </c>
      <c r="Q44" s="171">
        <v>0</v>
      </c>
      <c r="R44" s="172">
        <f t="shared" si="9"/>
        <v>202.53487585624123</v>
      </c>
    </row>
    <row r="45" spans="1:18" x14ac:dyDescent="0.25">
      <c r="A45" s="129">
        <v>2</v>
      </c>
      <c r="B45" s="164">
        <f t="shared" si="13"/>
        <v>45323</v>
      </c>
      <c r="C45" s="184">
        <f t="shared" si="14"/>
        <v>45356</v>
      </c>
      <c r="D45" s="184">
        <f t="shared" si="14"/>
        <v>45376</v>
      </c>
      <c r="E45" s="173" t="s">
        <v>81</v>
      </c>
      <c r="F45" s="129">
        <v>9</v>
      </c>
      <c r="G45" s="166">
        <v>146</v>
      </c>
      <c r="H45" s="167">
        <f t="shared" si="5"/>
        <v>9.9985597205614507</v>
      </c>
      <c r="I45" s="167">
        <f t="shared" si="1"/>
        <v>10.866487145184125</v>
      </c>
      <c r="J45" s="171">
        <f t="shared" si="15"/>
        <v>1586.5071231968823</v>
      </c>
      <c r="K45" s="175">
        <f t="shared" si="16"/>
        <v>1459.7897192019718</v>
      </c>
      <c r="L45" s="174">
        <f t="shared" si="17"/>
        <v>126.71740399491046</v>
      </c>
      <c r="M45" s="171">
        <f t="shared" si="7"/>
        <v>10.181169500511897</v>
      </c>
      <c r="N45" s="172">
        <f t="shared" si="8"/>
        <v>136.89857349542234</v>
      </c>
      <c r="O45" s="171">
        <v>0</v>
      </c>
      <c r="P45" s="171">
        <v>0</v>
      </c>
      <c r="Q45" s="171">
        <v>0</v>
      </c>
      <c r="R45" s="172">
        <f t="shared" si="9"/>
        <v>136.89857349542234</v>
      </c>
    </row>
    <row r="46" spans="1:18" x14ac:dyDescent="0.25">
      <c r="A46" s="129">
        <v>3</v>
      </c>
      <c r="B46" s="164">
        <f t="shared" si="13"/>
        <v>45352</v>
      </c>
      <c r="C46" s="184">
        <f t="shared" si="14"/>
        <v>45385</v>
      </c>
      <c r="D46" s="184">
        <f t="shared" si="14"/>
        <v>45406</v>
      </c>
      <c r="E46" s="173" t="s">
        <v>81</v>
      </c>
      <c r="F46" s="129">
        <v>9</v>
      </c>
      <c r="G46" s="166">
        <v>113</v>
      </c>
      <c r="H46" s="167">
        <f t="shared" si="5"/>
        <v>9.9985597205614507</v>
      </c>
      <c r="I46" s="167">
        <f t="shared" si="1"/>
        <v>10.866487145184125</v>
      </c>
      <c r="J46" s="171">
        <f t="shared" si="15"/>
        <v>1227.9130474058061</v>
      </c>
      <c r="K46" s="175">
        <f t="shared" si="16"/>
        <v>1129.837248423444</v>
      </c>
      <c r="L46" s="174">
        <f t="shared" si="17"/>
        <v>98.07579898236213</v>
      </c>
      <c r="M46" s="171">
        <f t="shared" si="7"/>
        <v>7.8799462572455097</v>
      </c>
      <c r="N46" s="172">
        <f t="shared" si="8"/>
        <v>105.95574523960764</v>
      </c>
      <c r="O46" s="171">
        <v>0</v>
      </c>
      <c r="P46" s="171">
        <v>0</v>
      </c>
      <c r="Q46" s="171">
        <v>0</v>
      </c>
      <c r="R46" s="172">
        <f t="shared" si="9"/>
        <v>105.95574523960764</v>
      </c>
    </row>
    <row r="47" spans="1:18" x14ac:dyDescent="0.25">
      <c r="A47" s="93">
        <v>4</v>
      </c>
      <c r="B47" s="164">
        <f t="shared" si="13"/>
        <v>45383</v>
      </c>
      <c r="C47" s="184">
        <f t="shared" si="14"/>
        <v>45415</v>
      </c>
      <c r="D47" s="184">
        <f t="shared" si="14"/>
        <v>45436</v>
      </c>
      <c r="E47" s="173" t="s">
        <v>81</v>
      </c>
      <c r="F47" s="129">
        <v>9</v>
      </c>
      <c r="G47" s="166">
        <v>76</v>
      </c>
      <c r="H47" s="167">
        <f t="shared" si="5"/>
        <v>9.9985597205614507</v>
      </c>
      <c r="I47" s="167">
        <f t="shared" si="1"/>
        <v>10.866487145184125</v>
      </c>
      <c r="J47" s="171">
        <f t="shared" si="15"/>
        <v>825.85302303399351</v>
      </c>
      <c r="K47" s="175">
        <f t="shared" si="16"/>
        <v>759.8905387626703</v>
      </c>
      <c r="L47" s="174">
        <f t="shared" si="17"/>
        <v>65.962484271323206</v>
      </c>
      <c r="M47" s="171">
        <f t="shared" si="7"/>
        <v>5.2997868632801666</v>
      </c>
      <c r="N47" s="172">
        <f t="shared" si="8"/>
        <v>71.262271134603367</v>
      </c>
      <c r="O47" s="171">
        <v>0</v>
      </c>
      <c r="P47" s="171">
        <v>0</v>
      </c>
      <c r="Q47" s="171">
        <v>0</v>
      </c>
      <c r="R47" s="172">
        <f t="shared" si="9"/>
        <v>71.262271134603367</v>
      </c>
    </row>
    <row r="48" spans="1:18" x14ac:dyDescent="0.25">
      <c r="A48" s="129">
        <v>5</v>
      </c>
      <c r="B48" s="164">
        <f t="shared" si="13"/>
        <v>45413</v>
      </c>
      <c r="C48" s="184">
        <f t="shared" si="14"/>
        <v>45448</v>
      </c>
      <c r="D48" s="184">
        <f t="shared" si="14"/>
        <v>45467</v>
      </c>
      <c r="E48" s="173" t="s">
        <v>81</v>
      </c>
      <c r="F48" s="129">
        <v>9</v>
      </c>
      <c r="G48" s="166">
        <v>120</v>
      </c>
      <c r="H48" s="167">
        <f t="shared" si="5"/>
        <v>9.9985597205614507</v>
      </c>
      <c r="I48" s="167">
        <f t="shared" si="1"/>
        <v>10.866487145184125</v>
      </c>
      <c r="J48" s="171">
        <f t="shared" si="15"/>
        <v>1303.9784574220951</v>
      </c>
      <c r="K48" s="175">
        <f t="shared" si="16"/>
        <v>1199.8271664673741</v>
      </c>
      <c r="L48" s="174">
        <f t="shared" si="17"/>
        <v>104.15129095472093</v>
      </c>
      <c r="M48" s="171">
        <f t="shared" si="7"/>
        <v>8.3680845209686847</v>
      </c>
      <c r="N48" s="172">
        <f t="shared" si="8"/>
        <v>112.51937547568961</v>
      </c>
      <c r="O48" s="171">
        <v>0</v>
      </c>
      <c r="P48" s="171">
        <v>0</v>
      </c>
      <c r="Q48" s="171">
        <v>0</v>
      </c>
      <c r="R48" s="172">
        <f t="shared" si="9"/>
        <v>112.51937547568961</v>
      </c>
    </row>
    <row r="49" spans="1:18" x14ac:dyDescent="0.25">
      <c r="A49" s="129">
        <v>6</v>
      </c>
      <c r="B49" s="164">
        <f t="shared" si="13"/>
        <v>45444</v>
      </c>
      <c r="C49" s="184">
        <f t="shared" si="14"/>
        <v>45476</v>
      </c>
      <c r="D49" s="184">
        <f t="shared" si="14"/>
        <v>45497</v>
      </c>
      <c r="E49" s="173" t="s">
        <v>81</v>
      </c>
      <c r="F49" s="129">
        <v>9</v>
      </c>
      <c r="G49" s="166">
        <v>147</v>
      </c>
      <c r="H49" s="167">
        <f t="shared" si="5"/>
        <v>9.9985597205614507</v>
      </c>
      <c r="I49" s="167">
        <f t="shared" si="1"/>
        <v>10.866487145184125</v>
      </c>
      <c r="J49" s="171">
        <f t="shared" si="15"/>
        <v>1597.3736103420665</v>
      </c>
      <c r="K49" s="175">
        <f t="shared" si="16"/>
        <v>1469.7882789225332</v>
      </c>
      <c r="L49" s="174">
        <f t="shared" si="17"/>
        <v>127.5853314195333</v>
      </c>
      <c r="M49" s="171">
        <f t="shared" si="7"/>
        <v>10.250903538186638</v>
      </c>
      <c r="N49" s="172">
        <f t="shared" si="8"/>
        <v>137.83623495771994</v>
      </c>
      <c r="O49" s="171">
        <v>0</v>
      </c>
      <c r="P49" s="171">
        <v>0</v>
      </c>
      <c r="Q49" s="171">
        <v>0</v>
      </c>
      <c r="R49" s="172">
        <f t="shared" si="9"/>
        <v>137.83623495771994</v>
      </c>
    </row>
    <row r="50" spans="1:18" x14ac:dyDescent="0.25">
      <c r="A50" s="93">
        <v>7</v>
      </c>
      <c r="B50" s="164">
        <f t="shared" si="13"/>
        <v>45474</v>
      </c>
      <c r="C50" s="184">
        <f t="shared" si="14"/>
        <v>45509</v>
      </c>
      <c r="D50" s="184">
        <f t="shared" si="14"/>
        <v>45530</v>
      </c>
      <c r="E50" s="173" t="s">
        <v>81</v>
      </c>
      <c r="F50" s="129">
        <v>9</v>
      </c>
      <c r="G50" s="166">
        <v>155</v>
      </c>
      <c r="H50" s="167">
        <f t="shared" si="5"/>
        <v>9.9985597205614507</v>
      </c>
      <c r="I50" s="167">
        <f t="shared" si="1"/>
        <v>10.866487145184125</v>
      </c>
      <c r="J50" s="171">
        <f t="shared" si="15"/>
        <v>1684.3055075035395</v>
      </c>
      <c r="K50" s="175">
        <f t="shared" si="16"/>
        <v>1549.7767566870248</v>
      </c>
      <c r="L50" s="174">
        <f t="shared" si="17"/>
        <v>134.52875081651473</v>
      </c>
      <c r="M50" s="171">
        <f t="shared" si="7"/>
        <v>10.80877583958455</v>
      </c>
      <c r="N50" s="172">
        <f t="shared" si="8"/>
        <v>145.33752665609927</v>
      </c>
      <c r="O50" s="171">
        <v>0</v>
      </c>
      <c r="P50" s="171">
        <v>0</v>
      </c>
      <c r="Q50" s="171">
        <v>0</v>
      </c>
      <c r="R50" s="172">
        <f t="shared" si="9"/>
        <v>145.33752665609927</v>
      </c>
    </row>
    <row r="51" spans="1:18" x14ac:dyDescent="0.25">
      <c r="A51" s="129">
        <v>8</v>
      </c>
      <c r="B51" s="164">
        <f t="shared" si="13"/>
        <v>45505</v>
      </c>
      <c r="C51" s="184">
        <f t="shared" si="14"/>
        <v>45539</v>
      </c>
      <c r="D51" s="184">
        <f t="shared" si="14"/>
        <v>45559</v>
      </c>
      <c r="E51" s="173" t="s">
        <v>81</v>
      </c>
      <c r="F51" s="129">
        <v>9</v>
      </c>
      <c r="G51" s="166">
        <v>157</v>
      </c>
      <c r="H51" s="167">
        <f t="shared" si="5"/>
        <v>9.9985597205614507</v>
      </c>
      <c r="I51" s="167">
        <f t="shared" si="1"/>
        <v>10.866487145184125</v>
      </c>
      <c r="J51" s="171">
        <f t="shared" si="15"/>
        <v>1706.0384817939077</v>
      </c>
      <c r="K51" s="175">
        <f t="shared" si="16"/>
        <v>1569.7738761281478</v>
      </c>
      <c r="L51" s="174">
        <f t="shared" si="17"/>
        <v>136.26460566575997</v>
      </c>
      <c r="M51" s="171">
        <f t="shared" si="7"/>
        <v>10.948243914934027</v>
      </c>
      <c r="N51" s="172">
        <f t="shared" si="8"/>
        <v>147.21284958069401</v>
      </c>
      <c r="O51" s="171">
        <v>0</v>
      </c>
      <c r="P51" s="171">
        <v>0</v>
      </c>
      <c r="Q51" s="171">
        <v>0</v>
      </c>
      <c r="R51" s="172">
        <f t="shared" si="9"/>
        <v>147.21284958069401</v>
      </c>
    </row>
    <row r="52" spans="1:18" x14ac:dyDescent="0.25">
      <c r="A52" s="129">
        <v>9</v>
      </c>
      <c r="B52" s="164">
        <f t="shared" si="13"/>
        <v>45536</v>
      </c>
      <c r="C52" s="184">
        <f t="shared" si="14"/>
        <v>45568</v>
      </c>
      <c r="D52" s="184">
        <f t="shared" si="14"/>
        <v>45589</v>
      </c>
      <c r="E52" s="173" t="s">
        <v>81</v>
      </c>
      <c r="F52" s="129">
        <v>9</v>
      </c>
      <c r="G52" s="166">
        <v>126</v>
      </c>
      <c r="H52" s="167">
        <f t="shared" si="5"/>
        <v>9.9985597205614507</v>
      </c>
      <c r="I52" s="167">
        <f t="shared" si="1"/>
        <v>10.866487145184125</v>
      </c>
      <c r="J52" s="171">
        <f t="shared" si="15"/>
        <v>1369.1773802931998</v>
      </c>
      <c r="K52" s="175">
        <f t="shared" si="16"/>
        <v>1259.8185247907427</v>
      </c>
      <c r="L52" s="174">
        <f t="shared" si="17"/>
        <v>109.35885550245712</v>
      </c>
      <c r="M52" s="171">
        <f t="shared" si="7"/>
        <v>8.7864887470171169</v>
      </c>
      <c r="N52" s="172">
        <f t="shared" si="8"/>
        <v>118.14534424947423</v>
      </c>
      <c r="O52" s="171">
        <v>0</v>
      </c>
      <c r="P52" s="171">
        <v>0</v>
      </c>
      <c r="Q52" s="171">
        <v>0</v>
      </c>
      <c r="R52" s="172">
        <f t="shared" si="9"/>
        <v>118.14534424947423</v>
      </c>
    </row>
    <row r="53" spans="1:18" x14ac:dyDescent="0.25">
      <c r="A53" s="93">
        <v>10</v>
      </c>
      <c r="B53" s="164">
        <f t="shared" si="13"/>
        <v>45566</v>
      </c>
      <c r="C53" s="184">
        <f t="shared" si="14"/>
        <v>45601</v>
      </c>
      <c r="D53" s="184">
        <f t="shared" si="14"/>
        <v>45621</v>
      </c>
      <c r="E53" s="173" t="s">
        <v>81</v>
      </c>
      <c r="F53" s="129">
        <v>9</v>
      </c>
      <c r="G53" s="166">
        <v>112</v>
      </c>
      <c r="H53" s="167">
        <f t="shared" si="5"/>
        <v>9.9985597205614507</v>
      </c>
      <c r="I53" s="167">
        <f t="shared" si="1"/>
        <v>10.866487145184125</v>
      </c>
      <c r="J53" s="171">
        <f t="shared" si="15"/>
        <v>1217.0465602606221</v>
      </c>
      <c r="K53" s="175">
        <f t="shared" si="16"/>
        <v>1119.8386887028826</v>
      </c>
      <c r="L53" s="174">
        <f t="shared" si="17"/>
        <v>97.207871557739509</v>
      </c>
      <c r="M53" s="171">
        <f t="shared" si="7"/>
        <v>7.8102122195707713</v>
      </c>
      <c r="N53" s="172">
        <f t="shared" si="8"/>
        <v>105.01808377731028</v>
      </c>
      <c r="O53" s="171">
        <v>0</v>
      </c>
      <c r="P53" s="171">
        <v>0</v>
      </c>
      <c r="Q53" s="171">
        <v>0</v>
      </c>
      <c r="R53" s="172">
        <f t="shared" si="9"/>
        <v>105.01808377731028</v>
      </c>
    </row>
    <row r="54" spans="1:18" x14ac:dyDescent="0.25">
      <c r="A54" s="129">
        <v>11</v>
      </c>
      <c r="B54" s="164">
        <f t="shared" si="13"/>
        <v>45597</v>
      </c>
      <c r="C54" s="184">
        <f t="shared" si="14"/>
        <v>45630</v>
      </c>
      <c r="D54" s="184">
        <f t="shared" si="14"/>
        <v>45650</v>
      </c>
      <c r="E54" s="173" t="s">
        <v>81</v>
      </c>
      <c r="F54" s="129">
        <v>9</v>
      </c>
      <c r="G54" s="166">
        <v>93</v>
      </c>
      <c r="H54" s="167">
        <f t="shared" si="5"/>
        <v>9.9985597205614507</v>
      </c>
      <c r="I54" s="167">
        <f t="shared" si="1"/>
        <v>10.866487145184125</v>
      </c>
      <c r="J54" s="171">
        <f t="shared" si="15"/>
        <v>1010.5833045021236</v>
      </c>
      <c r="K54" s="175">
        <f t="shared" si="16"/>
        <v>929.86605401221493</v>
      </c>
      <c r="L54" s="174">
        <f t="shared" si="17"/>
        <v>80.717250489908679</v>
      </c>
      <c r="M54" s="171">
        <f t="shared" si="7"/>
        <v>6.4852655037507301</v>
      </c>
      <c r="N54" s="172">
        <f t="shared" si="8"/>
        <v>87.202515993659404</v>
      </c>
      <c r="O54" s="171">
        <v>0</v>
      </c>
      <c r="P54" s="171">
        <v>0</v>
      </c>
      <c r="Q54" s="171">
        <v>0</v>
      </c>
      <c r="R54" s="172">
        <f t="shared" si="9"/>
        <v>87.202515993659404</v>
      </c>
    </row>
    <row r="55" spans="1:18" x14ac:dyDescent="0.25">
      <c r="A55" s="129">
        <v>12</v>
      </c>
      <c r="B55" s="164">
        <f t="shared" si="13"/>
        <v>45627</v>
      </c>
      <c r="C55" s="184">
        <f t="shared" si="14"/>
        <v>45660</v>
      </c>
      <c r="D55" s="184">
        <f t="shared" si="14"/>
        <v>45681</v>
      </c>
      <c r="E55" s="173" t="s">
        <v>81</v>
      </c>
      <c r="F55" s="129">
        <v>9</v>
      </c>
      <c r="G55" s="166">
        <v>128</v>
      </c>
      <c r="H55" s="176">
        <f t="shared" si="5"/>
        <v>9.9985597205614507</v>
      </c>
      <c r="I55" s="176">
        <f t="shared" si="1"/>
        <v>10.866487145184125</v>
      </c>
      <c r="J55" s="177">
        <f t="shared" si="15"/>
        <v>1390.9103545835681</v>
      </c>
      <c r="K55" s="178">
        <f t="shared" si="16"/>
        <v>1279.8156442318657</v>
      </c>
      <c r="L55" s="179">
        <f t="shared" si="17"/>
        <v>111.09471035170236</v>
      </c>
      <c r="M55" s="171">
        <f t="shared" si="7"/>
        <v>8.9259568223665955</v>
      </c>
      <c r="N55" s="172">
        <f t="shared" si="8"/>
        <v>120.02066717406896</v>
      </c>
      <c r="O55" s="171">
        <v>0</v>
      </c>
      <c r="P55" s="171">
        <v>0</v>
      </c>
      <c r="Q55" s="171">
        <v>0</v>
      </c>
      <c r="R55" s="172">
        <f t="shared" si="9"/>
        <v>120.02066717406896</v>
      </c>
    </row>
    <row r="56" spans="1:18" s="185" customFormat="1" x14ac:dyDescent="0.25">
      <c r="A56" s="93">
        <v>1</v>
      </c>
      <c r="B56" s="180">
        <f t="shared" si="4"/>
        <v>45292</v>
      </c>
      <c r="C56" s="181">
        <f t="shared" ref="C56:D67" si="18">+C32</f>
        <v>45327</v>
      </c>
      <c r="D56" s="181">
        <f t="shared" si="18"/>
        <v>45348</v>
      </c>
      <c r="E56" s="182" t="s">
        <v>14</v>
      </c>
      <c r="F56" s="183">
        <v>9</v>
      </c>
      <c r="G56" s="166">
        <v>1129</v>
      </c>
      <c r="H56" s="167">
        <f t="shared" si="5"/>
        <v>9.9985597205614507</v>
      </c>
      <c r="I56" s="167">
        <f t="shared" si="1"/>
        <v>10.866487145184125</v>
      </c>
      <c r="J56" s="168">
        <f t="shared" si="2"/>
        <v>12268.263986912878</v>
      </c>
      <c r="K56" s="169">
        <f t="shared" si="11"/>
        <v>11288.373924513879</v>
      </c>
      <c r="L56" s="170">
        <f t="shared" si="12"/>
        <v>979.89006239899936</v>
      </c>
      <c r="M56" s="171">
        <f t="shared" si="7"/>
        <v>78.729728534780364</v>
      </c>
      <c r="N56" s="172">
        <f t="shared" si="8"/>
        <v>1058.6197909337798</v>
      </c>
      <c r="O56" s="171">
        <v>0</v>
      </c>
      <c r="P56" s="171">
        <v>0</v>
      </c>
      <c r="Q56" s="171">
        <v>0</v>
      </c>
      <c r="R56" s="172">
        <f t="shared" si="9"/>
        <v>1058.6197909337798</v>
      </c>
    </row>
    <row r="57" spans="1:18" x14ac:dyDescent="0.25">
      <c r="A57" s="129">
        <v>2</v>
      </c>
      <c r="B57" s="164">
        <f t="shared" si="4"/>
        <v>45323</v>
      </c>
      <c r="C57" s="184">
        <f t="shared" si="18"/>
        <v>45356</v>
      </c>
      <c r="D57" s="184">
        <f t="shared" si="18"/>
        <v>45376</v>
      </c>
      <c r="E57" s="173" t="s">
        <v>14</v>
      </c>
      <c r="F57" s="129">
        <v>9</v>
      </c>
      <c r="G57" s="166">
        <v>739</v>
      </c>
      <c r="H57" s="167">
        <f t="shared" si="5"/>
        <v>9.9985597205614507</v>
      </c>
      <c r="I57" s="167">
        <f t="shared" si="1"/>
        <v>10.866487145184125</v>
      </c>
      <c r="J57" s="168">
        <f t="shared" si="2"/>
        <v>8030.3340002910691</v>
      </c>
      <c r="K57" s="169">
        <f t="shared" si="11"/>
        <v>7388.9356334949125</v>
      </c>
      <c r="L57" s="170">
        <f t="shared" si="12"/>
        <v>641.39836679615655</v>
      </c>
      <c r="M57" s="171">
        <f t="shared" si="7"/>
        <v>51.533453841632145</v>
      </c>
      <c r="N57" s="172">
        <f t="shared" si="8"/>
        <v>692.93182063778875</v>
      </c>
      <c r="O57" s="171">
        <v>0</v>
      </c>
      <c r="P57" s="171">
        <v>0</v>
      </c>
      <c r="Q57" s="171">
        <v>0</v>
      </c>
      <c r="R57" s="172">
        <f t="shared" si="9"/>
        <v>692.93182063778875</v>
      </c>
    </row>
    <row r="58" spans="1:18" x14ac:dyDescent="0.25">
      <c r="A58" s="129">
        <v>3</v>
      </c>
      <c r="B58" s="164">
        <f t="shared" si="4"/>
        <v>45352</v>
      </c>
      <c r="C58" s="184">
        <f t="shared" si="18"/>
        <v>45385</v>
      </c>
      <c r="D58" s="184">
        <f t="shared" si="18"/>
        <v>45406</v>
      </c>
      <c r="E58" s="173" t="s">
        <v>14</v>
      </c>
      <c r="F58" s="129">
        <v>9</v>
      </c>
      <c r="G58" s="166">
        <v>642</v>
      </c>
      <c r="H58" s="167">
        <f t="shared" si="5"/>
        <v>9.9985597205614507</v>
      </c>
      <c r="I58" s="167">
        <f t="shared" si="1"/>
        <v>10.866487145184125</v>
      </c>
      <c r="J58" s="168">
        <f t="shared" si="2"/>
        <v>6976.2847472082085</v>
      </c>
      <c r="K58" s="169">
        <f t="shared" si="11"/>
        <v>6419.0753406004515</v>
      </c>
      <c r="L58" s="170">
        <f>+J58-K58</f>
        <v>557.20940660775705</v>
      </c>
      <c r="M58" s="171">
        <f t="shared" si="7"/>
        <v>44.76925218718246</v>
      </c>
      <c r="N58" s="172">
        <f t="shared" si="8"/>
        <v>601.97865879493952</v>
      </c>
      <c r="O58" s="171">
        <v>0</v>
      </c>
      <c r="P58" s="171">
        <v>0</v>
      </c>
      <c r="Q58" s="171">
        <v>0</v>
      </c>
      <c r="R58" s="172">
        <f t="shared" si="9"/>
        <v>601.97865879493952</v>
      </c>
    </row>
    <row r="59" spans="1:18" x14ac:dyDescent="0.25">
      <c r="A59" s="93">
        <v>4</v>
      </c>
      <c r="B59" s="164">
        <f t="shared" si="4"/>
        <v>45383</v>
      </c>
      <c r="C59" s="184">
        <f t="shared" si="18"/>
        <v>45415</v>
      </c>
      <c r="D59" s="184">
        <f t="shared" si="18"/>
        <v>45436</v>
      </c>
      <c r="E59" s="173" t="s">
        <v>14</v>
      </c>
      <c r="F59" s="129">
        <v>9</v>
      </c>
      <c r="G59" s="166">
        <v>581</v>
      </c>
      <c r="H59" s="167">
        <f t="shared" si="5"/>
        <v>9.9985597205614507</v>
      </c>
      <c r="I59" s="167">
        <f t="shared" si="1"/>
        <v>10.866487145184125</v>
      </c>
      <c r="J59" s="168">
        <f t="shared" si="2"/>
        <v>6313.4290313519768</v>
      </c>
      <c r="K59" s="169">
        <f t="shared" si="11"/>
        <v>5809.1631976462031</v>
      </c>
      <c r="L59" s="170">
        <f t="shared" ref="L59:L81" si="19">+J59-K59</f>
        <v>504.26583370577373</v>
      </c>
      <c r="M59" s="171">
        <f t="shared" si="7"/>
        <v>40.515475889023378</v>
      </c>
      <c r="N59" s="172">
        <f t="shared" si="8"/>
        <v>544.78130959479711</v>
      </c>
      <c r="O59" s="171">
        <v>0</v>
      </c>
      <c r="P59" s="171">
        <v>0</v>
      </c>
      <c r="Q59" s="171">
        <v>0</v>
      </c>
      <c r="R59" s="172">
        <f t="shared" si="9"/>
        <v>544.78130959479711</v>
      </c>
    </row>
    <row r="60" spans="1:18" x14ac:dyDescent="0.25">
      <c r="A60" s="129">
        <v>5</v>
      </c>
      <c r="B60" s="164">
        <f t="shared" si="4"/>
        <v>45413</v>
      </c>
      <c r="C60" s="184">
        <f t="shared" si="18"/>
        <v>45448</v>
      </c>
      <c r="D60" s="184">
        <f t="shared" si="18"/>
        <v>45467</v>
      </c>
      <c r="E60" s="52" t="s">
        <v>14</v>
      </c>
      <c r="F60" s="129">
        <v>9</v>
      </c>
      <c r="G60" s="166">
        <v>753</v>
      </c>
      <c r="H60" s="167">
        <f t="shared" si="5"/>
        <v>9.9985597205614507</v>
      </c>
      <c r="I60" s="167">
        <f t="shared" si="1"/>
        <v>10.866487145184125</v>
      </c>
      <c r="J60" s="168">
        <f t="shared" si="2"/>
        <v>8182.4648203236466</v>
      </c>
      <c r="K60" s="169">
        <f t="shared" si="11"/>
        <v>7528.9154695827719</v>
      </c>
      <c r="L60" s="170">
        <f t="shared" si="19"/>
        <v>653.54935074087462</v>
      </c>
      <c r="M60" s="171">
        <f t="shared" si="7"/>
        <v>52.50973036907849</v>
      </c>
      <c r="N60" s="172">
        <f t="shared" si="8"/>
        <v>706.05908110995313</v>
      </c>
      <c r="O60" s="171">
        <v>0</v>
      </c>
      <c r="P60" s="171">
        <v>0</v>
      </c>
      <c r="Q60" s="171">
        <v>0</v>
      </c>
      <c r="R60" s="172">
        <f t="shared" si="9"/>
        <v>706.05908110995313</v>
      </c>
    </row>
    <row r="61" spans="1:18" x14ac:dyDescent="0.25">
      <c r="A61" s="129">
        <v>6</v>
      </c>
      <c r="B61" s="164">
        <f t="shared" si="4"/>
        <v>45444</v>
      </c>
      <c r="C61" s="184">
        <f t="shared" si="18"/>
        <v>45476</v>
      </c>
      <c r="D61" s="184">
        <f t="shared" si="18"/>
        <v>45497</v>
      </c>
      <c r="E61" s="52" t="s">
        <v>14</v>
      </c>
      <c r="F61" s="129">
        <v>9</v>
      </c>
      <c r="G61" s="166">
        <v>1001</v>
      </c>
      <c r="H61" s="167">
        <f t="shared" si="5"/>
        <v>9.9985597205614507</v>
      </c>
      <c r="I61" s="167">
        <f t="shared" si="1"/>
        <v>10.866487145184125</v>
      </c>
      <c r="J61" s="168">
        <f t="shared" si="2"/>
        <v>10877.35363232931</v>
      </c>
      <c r="K61" s="169">
        <f t="shared" si="11"/>
        <v>10008.558280282012</v>
      </c>
      <c r="L61" s="174">
        <f t="shared" si="19"/>
        <v>868.79535204729837</v>
      </c>
      <c r="M61" s="171">
        <f t="shared" si="7"/>
        <v>69.803771712413763</v>
      </c>
      <c r="N61" s="172">
        <f t="shared" si="8"/>
        <v>938.59912375971214</v>
      </c>
      <c r="O61" s="171">
        <v>0</v>
      </c>
      <c r="P61" s="171">
        <v>0</v>
      </c>
      <c r="Q61" s="171">
        <v>0</v>
      </c>
      <c r="R61" s="172">
        <f t="shared" si="9"/>
        <v>938.59912375971214</v>
      </c>
    </row>
    <row r="62" spans="1:18" x14ac:dyDescent="0.25">
      <c r="A62" s="93">
        <v>7</v>
      </c>
      <c r="B62" s="164">
        <f t="shared" si="4"/>
        <v>45474</v>
      </c>
      <c r="C62" s="184">
        <f t="shared" si="18"/>
        <v>45509</v>
      </c>
      <c r="D62" s="184">
        <f t="shared" si="18"/>
        <v>45530</v>
      </c>
      <c r="E62" s="52" t="s">
        <v>14</v>
      </c>
      <c r="F62" s="129">
        <v>9</v>
      </c>
      <c r="G62" s="166">
        <v>961</v>
      </c>
      <c r="H62" s="167">
        <f t="shared" si="5"/>
        <v>9.9985597205614507</v>
      </c>
      <c r="I62" s="167">
        <f t="shared" si="1"/>
        <v>10.866487145184125</v>
      </c>
      <c r="J62" s="168">
        <f t="shared" si="2"/>
        <v>10442.694146521944</v>
      </c>
      <c r="K62" s="175">
        <f t="shared" si="11"/>
        <v>9608.6158914595544</v>
      </c>
      <c r="L62" s="174">
        <f t="shared" si="19"/>
        <v>834.07825506238987</v>
      </c>
      <c r="M62" s="171">
        <f t="shared" si="7"/>
        <v>67.014410205424198</v>
      </c>
      <c r="N62" s="172">
        <f t="shared" si="8"/>
        <v>901.09266526781403</v>
      </c>
      <c r="O62" s="171">
        <v>0</v>
      </c>
      <c r="P62" s="171">
        <v>0</v>
      </c>
      <c r="Q62" s="171">
        <v>0</v>
      </c>
      <c r="R62" s="172">
        <f t="shared" si="9"/>
        <v>901.09266526781403</v>
      </c>
    </row>
    <row r="63" spans="1:18" x14ac:dyDescent="0.25">
      <c r="A63" s="129">
        <v>8</v>
      </c>
      <c r="B63" s="164">
        <f t="shared" si="4"/>
        <v>45505</v>
      </c>
      <c r="C63" s="184">
        <f t="shared" si="18"/>
        <v>45539</v>
      </c>
      <c r="D63" s="184">
        <f t="shared" si="18"/>
        <v>45559</v>
      </c>
      <c r="E63" s="52" t="s">
        <v>14</v>
      </c>
      <c r="F63" s="129">
        <v>9</v>
      </c>
      <c r="G63" s="166">
        <v>1017</v>
      </c>
      <c r="H63" s="167">
        <f t="shared" si="5"/>
        <v>9.9985597205614507</v>
      </c>
      <c r="I63" s="167">
        <f t="shared" si="1"/>
        <v>10.866487145184125</v>
      </c>
      <c r="J63" s="168">
        <f t="shared" si="2"/>
        <v>11051.217426652256</v>
      </c>
      <c r="K63" s="175">
        <f t="shared" si="11"/>
        <v>10168.535235810996</v>
      </c>
      <c r="L63" s="174">
        <f t="shared" si="19"/>
        <v>882.68219084126031</v>
      </c>
      <c r="M63" s="171">
        <f t="shared" si="7"/>
        <v>70.919516315209592</v>
      </c>
      <c r="N63" s="172">
        <f t="shared" si="8"/>
        <v>953.60170715646996</v>
      </c>
      <c r="O63" s="171">
        <v>0</v>
      </c>
      <c r="P63" s="171">
        <v>0</v>
      </c>
      <c r="Q63" s="171">
        <v>0</v>
      </c>
      <c r="R63" s="172">
        <f t="shared" si="9"/>
        <v>953.60170715646996</v>
      </c>
    </row>
    <row r="64" spans="1:18" x14ac:dyDescent="0.25">
      <c r="A64" s="129">
        <v>9</v>
      </c>
      <c r="B64" s="164">
        <f t="shared" si="4"/>
        <v>45536</v>
      </c>
      <c r="C64" s="184">
        <f t="shared" si="18"/>
        <v>45568</v>
      </c>
      <c r="D64" s="184">
        <f t="shared" si="18"/>
        <v>45589</v>
      </c>
      <c r="E64" s="52" t="s">
        <v>14</v>
      </c>
      <c r="F64" s="129">
        <v>9</v>
      </c>
      <c r="G64" s="166">
        <v>856</v>
      </c>
      <c r="H64" s="167">
        <f t="shared" si="5"/>
        <v>9.9985597205614507</v>
      </c>
      <c r="I64" s="167">
        <f t="shared" ref="I64:I107" si="20">$J$3</f>
        <v>10.866487145184125</v>
      </c>
      <c r="J64" s="168">
        <f t="shared" si="2"/>
        <v>9301.7129962776107</v>
      </c>
      <c r="K64" s="175">
        <f t="shared" si="11"/>
        <v>8558.7671208006013</v>
      </c>
      <c r="L64" s="174">
        <f t="shared" si="19"/>
        <v>742.94587547700939</v>
      </c>
      <c r="M64" s="171">
        <f t="shared" si="7"/>
        <v>59.692336249576606</v>
      </c>
      <c r="N64" s="172">
        <f t="shared" si="8"/>
        <v>802.63821172658595</v>
      </c>
      <c r="O64" s="171">
        <v>0</v>
      </c>
      <c r="P64" s="171">
        <v>0</v>
      </c>
      <c r="Q64" s="171">
        <v>0</v>
      </c>
      <c r="R64" s="172">
        <f t="shared" si="9"/>
        <v>802.63821172658595</v>
      </c>
    </row>
    <row r="65" spans="1:18" x14ac:dyDescent="0.25">
      <c r="A65" s="93">
        <v>10</v>
      </c>
      <c r="B65" s="164">
        <f t="shared" si="4"/>
        <v>45566</v>
      </c>
      <c r="C65" s="184">
        <f t="shared" si="18"/>
        <v>45601</v>
      </c>
      <c r="D65" s="184">
        <f t="shared" si="18"/>
        <v>45621</v>
      </c>
      <c r="E65" s="52" t="s">
        <v>14</v>
      </c>
      <c r="F65" s="129">
        <v>9</v>
      </c>
      <c r="G65" s="166">
        <v>786</v>
      </c>
      <c r="H65" s="167">
        <f t="shared" si="5"/>
        <v>9.9985597205614507</v>
      </c>
      <c r="I65" s="167">
        <f t="shared" si="20"/>
        <v>10.866487145184125</v>
      </c>
      <c r="J65" s="168">
        <f t="shared" si="2"/>
        <v>8541.0588961147223</v>
      </c>
      <c r="K65" s="175">
        <f t="shared" si="11"/>
        <v>7858.8679403613005</v>
      </c>
      <c r="L65" s="174">
        <f t="shared" si="19"/>
        <v>682.1909557534218</v>
      </c>
      <c r="M65" s="171">
        <f t="shared" si="7"/>
        <v>54.810953612344875</v>
      </c>
      <c r="N65" s="172">
        <f t="shared" si="8"/>
        <v>737.00190936576666</v>
      </c>
      <c r="O65" s="171">
        <v>0</v>
      </c>
      <c r="P65" s="171">
        <v>0</v>
      </c>
      <c r="Q65" s="171">
        <v>0</v>
      </c>
      <c r="R65" s="172">
        <f t="shared" si="9"/>
        <v>737.00190936576666</v>
      </c>
    </row>
    <row r="66" spans="1:18" x14ac:dyDescent="0.25">
      <c r="A66" s="129">
        <v>11</v>
      </c>
      <c r="B66" s="164">
        <f t="shared" si="4"/>
        <v>45597</v>
      </c>
      <c r="C66" s="184">
        <f t="shared" si="18"/>
        <v>45630</v>
      </c>
      <c r="D66" s="184">
        <f t="shared" si="18"/>
        <v>45650</v>
      </c>
      <c r="E66" s="52" t="s">
        <v>14</v>
      </c>
      <c r="F66" s="129">
        <v>9</v>
      </c>
      <c r="G66" s="166">
        <v>463</v>
      </c>
      <c r="H66" s="167">
        <f t="shared" si="5"/>
        <v>9.9985597205614507</v>
      </c>
      <c r="I66" s="167">
        <f t="shared" si="20"/>
        <v>10.866487145184125</v>
      </c>
      <c r="J66" s="168">
        <f t="shared" si="2"/>
        <v>5031.1835482202505</v>
      </c>
      <c r="K66" s="175">
        <f t="shared" si="11"/>
        <v>4629.333150619952</v>
      </c>
      <c r="L66" s="174">
        <f t="shared" si="19"/>
        <v>401.85039760029849</v>
      </c>
      <c r="M66" s="171">
        <f t="shared" si="7"/>
        <v>32.286859443404175</v>
      </c>
      <c r="N66" s="172">
        <f t="shared" si="8"/>
        <v>434.13725704370268</v>
      </c>
      <c r="O66" s="171">
        <v>0</v>
      </c>
      <c r="P66" s="171">
        <v>0</v>
      </c>
      <c r="Q66" s="171">
        <v>0</v>
      </c>
      <c r="R66" s="172">
        <f t="shared" si="9"/>
        <v>434.13725704370268</v>
      </c>
    </row>
    <row r="67" spans="1:18" s="188" customFormat="1" x14ac:dyDescent="0.25">
      <c r="A67" s="129">
        <v>12</v>
      </c>
      <c r="B67" s="186">
        <f t="shared" si="4"/>
        <v>45627</v>
      </c>
      <c r="C67" s="184">
        <f t="shared" si="18"/>
        <v>45660</v>
      </c>
      <c r="D67" s="184">
        <f t="shared" si="18"/>
        <v>45681</v>
      </c>
      <c r="E67" s="187" t="s">
        <v>14</v>
      </c>
      <c r="F67" s="140">
        <v>9</v>
      </c>
      <c r="G67" s="166">
        <v>725</v>
      </c>
      <c r="H67" s="176">
        <f t="shared" si="5"/>
        <v>9.9985597205614507</v>
      </c>
      <c r="I67" s="176">
        <f t="shared" si="20"/>
        <v>10.866487145184125</v>
      </c>
      <c r="J67" s="177">
        <f t="shared" si="2"/>
        <v>7878.2031802584906</v>
      </c>
      <c r="K67" s="178">
        <f t="shared" si="11"/>
        <v>7248.9557974070522</v>
      </c>
      <c r="L67" s="179">
        <f t="shared" si="19"/>
        <v>629.24738285143849</v>
      </c>
      <c r="M67" s="171">
        <f t="shared" si="7"/>
        <v>50.5571773141858</v>
      </c>
      <c r="N67" s="172">
        <f t="shared" si="8"/>
        <v>679.80456016562425</v>
      </c>
      <c r="O67" s="171">
        <v>0</v>
      </c>
      <c r="P67" s="171">
        <v>0</v>
      </c>
      <c r="Q67" s="171">
        <v>0</v>
      </c>
      <c r="R67" s="172">
        <f t="shared" si="9"/>
        <v>679.80456016562425</v>
      </c>
    </row>
    <row r="68" spans="1:18" x14ac:dyDescent="0.25">
      <c r="A68" s="93">
        <v>1</v>
      </c>
      <c r="B68" s="164">
        <f t="shared" si="4"/>
        <v>45292</v>
      </c>
      <c r="C68" s="181">
        <f t="shared" ref="C68:D79" si="21">+C56</f>
        <v>45327</v>
      </c>
      <c r="D68" s="181">
        <f t="shared" si="21"/>
        <v>45348</v>
      </c>
      <c r="E68" s="165" t="s">
        <v>83</v>
      </c>
      <c r="F68" s="93">
        <v>9</v>
      </c>
      <c r="G68" s="166">
        <v>58</v>
      </c>
      <c r="H68" s="167">
        <f t="shared" si="5"/>
        <v>9.9985597205614507</v>
      </c>
      <c r="I68" s="167">
        <f t="shared" si="20"/>
        <v>10.866487145184125</v>
      </c>
      <c r="J68" s="168">
        <f t="shared" si="2"/>
        <v>630.25625442067928</v>
      </c>
      <c r="K68" s="169">
        <f t="shared" si="11"/>
        <v>579.91646379256417</v>
      </c>
      <c r="L68" s="170">
        <f t="shared" si="19"/>
        <v>50.339790628115111</v>
      </c>
      <c r="M68" s="171">
        <f t="shared" si="7"/>
        <v>4.0445741851348638</v>
      </c>
      <c r="N68" s="172">
        <f t="shared" si="8"/>
        <v>54.384364813249974</v>
      </c>
      <c r="O68" s="171">
        <v>0</v>
      </c>
      <c r="P68" s="171">
        <v>0</v>
      </c>
      <c r="Q68" s="171">
        <v>0</v>
      </c>
      <c r="R68" s="172">
        <f t="shared" si="9"/>
        <v>54.384364813249974</v>
      </c>
    </row>
    <row r="69" spans="1:18" x14ac:dyDescent="0.25">
      <c r="A69" s="129">
        <v>2</v>
      </c>
      <c r="B69" s="164">
        <f t="shared" si="4"/>
        <v>45323</v>
      </c>
      <c r="C69" s="184">
        <f t="shared" si="21"/>
        <v>45356</v>
      </c>
      <c r="D69" s="184">
        <f t="shared" si="21"/>
        <v>45376</v>
      </c>
      <c r="E69" s="173" t="s">
        <v>83</v>
      </c>
      <c r="F69" s="129">
        <v>9</v>
      </c>
      <c r="G69" s="166">
        <v>36</v>
      </c>
      <c r="H69" s="167">
        <f t="shared" si="5"/>
        <v>9.9985597205614507</v>
      </c>
      <c r="I69" s="167">
        <f t="shared" si="20"/>
        <v>10.866487145184125</v>
      </c>
      <c r="J69" s="168">
        <f t="shared" si="2"/>
        <v>391.19353722662851</v>
      </c>
      <c r="K69" s="169">
        <f t="shared" si="11"/>
        <v>359.9481499402122</v>
      </c>
      <c r="L69" s="170">
        <f t="shared" si="19"/>
        <v>31.245387286416303</v>
      </c>
      <c r="M69" s="171">
        <f t="shared" si="7"/>
        <v>2.5104253562906051</v>
      </c>
      <c r="N69" s="172">
        <f t="shared" si="8"/>
        <v>33.755812642706907</v>
      </c>
      <c r="O69" s="171">
        <v>0</v>
      </c>
      <c r="P69" s="171">
        <v>0</v>
      </c>
      <c r="Q69" s="171">
        <v>0</v>
      </c>
      <c r="R69" s="172">
        <f t="shared" si="9"/>
        <v>33.755812642706907</v>
      </c>
    </row>
    <row r="70" spans="1:18" x14ac:dyDescent="0.25">
      <c r="A70" s="129">
        <v>3</v>
      </c>
      <c r="B70" s="164">
        <f t="shared" si="4"/>
        <v>45352</v>
      </c>
      <c r="C70" s="184">
        <f t="shared" si="21"/>
        <v>45385</v>
      </c>
      <c r="D70" s="184">
        <f t="shared" si="21"/>
        <v>45406</v>
      </c>
      <c r="E70" s="173" t="s">
        <v>83</v>
      </c>
      <c r="F70" s="129">
        <v>9</v>
      </c>
      <c r="G70" s="166">
        <v>29</v>
      </c>
      <c r="H70" s="167">
        <f t="shared" si="5"/>
        <v>9.9985597205614507</v>
      </c>
      <c r="I70" s="167">
        <f t="shared" si="20"/>
        <v>10.866487145184125</v>
      </c>
      <c r="J70" s="168">
        <f t="shared" si="2"/>
        <v>315.12812721033964</v>
      </c>
      <c r="K70" s="169">
        <f t="shared" si="11"/>
        <v>289.95823189628209</v>
      </c>
      <c r="L70" s="170">
        <f>+J70-K70</f>
        <v>25.169895314057555</v>
      </c>
      <c r="M70" s="171">
        <f t="shared" si="7"/>
        <v>2.0222870925674319</v>
      </c>
      <c r="N70" s="172">
        <f t="shared" si="8"/>
        <v>27.192182406624987</v>
      </c>
      <c r="O70" s="171">
        <v>0</v>
      </c>
      <c r="P70" s="171">
        <v>0</v>
      </c>
      <c r="Q70" s="171">
        <v>0</v>
      </c>
      <c r="R70" s="172">
        <f t="shared" si="9"/>
        <v>27.192182406624987</v>
      </c>
    </row>
    <row r="71" spans="1:18" x14ac:dyDescent="0.25">
      <c r="A71" s="93">
        <v>4</v>
      </c>
      <c r="B71" s="164">
        <f t="shared" si="4"/>
        <v>45383</v>
      </c>
      <c r="C71" s="184">
        <f t="shared" si="21"/>
        <v>45415</v>
      </c>
      <c r="D71" s="184">
        <f t="shared" si="21"/>
        <v>45436</v>
      </c>
      <c r="E71" s="173" t="s">
        <v>83</v>
      </c>
      <c r="F71" s="129">
        <v>9</v>
      </c>
      <c r="G71" s="166">
        <v>27</v>
      </c>
      <c r="H71" s="167">
        <f t="shared" si="5"/>
        <v>9.9985597205614507</v>
      </c>
      <c r="I71" s="167">
        <f t="shared" si="20"/>
        <v>10.866487145184125</v>
      </c>
      <c r="J71" s="168">
        <f t="shared" si="2"/>
        <v>293.39515291997139</v>
      </c>
      <c r="K71" s="169">
        <f t="shared" si="11"/>
        <v>269.9611124551592</v>
      </c>
      <c r="L71" s="170">
        <f t="shared" ref="L71:L79" si="22">+J71-K71</f>
        <v>23.434040464812199</v>
      </c>
      <c r="M71" s="171">
        <f t="shared" si="7"/>
        <v>1.882819017217954</v>
      </c>
      <c r="N71" s="172">
        <f t="shared" si="8"/>
        <v>25.316859482030154</v>
      </c>
      <c r="O71" s="171">
        <v>0</v>
      </c>
      <c r="P71" s="171">
        <v>0</v>
      </c>
      <c r="Q71" s="171">
        <v>0</v>
      </c>
      <c r="R71" s="172">
        <f t="shared" si="9"/>
        <v>25.316859482030154</v>
      </c>
    </row>
    <row r="72" spans="1:18" x14ac:dyDescent="0.25">
      <c r="A72" s="129">
        <v>5</v>
      </c>
      <c r="B72" s="164">
        <f t="shared" si="4"/>
        <v>45413</v>
      </c>
      <c r="C72" s="184">
        <f t="shared" si="21"/>
        <v>45448</v>
      </c>
      <c r="D72" s="184">
        <f t="shared" si="21"/>
        <v>45467</v>
      </c>
      <c r="E72" s="173" t="s">
        <v>83</v>
      </c>
      <c r="F72" s="129">
        <v>9</v>
      </c>
      <c r="G72" s="166">
        <v>36</v>
      </c>
      <c r="H72" s="167">
        <f t="shared" si="5"/>
        <v>9.9985597205614507</v>
      </c>
      <c r="I72" s="167">
        <f t="shared" si="20"/>
        <v>10.866487145184125</v>
      </c>
      <c r="J72" s="168">
        <f t="shared" si="2"/>
        <v>391.19353722662851</v>
      </c>
      <c r="K72" s="169">
        <f t="shared" si="11"/>
        <v>359.9481499402122</v>
      </c>
      <c r="L72" s="170">
        <f t="shared" si="22"/>
        <v>31.245387286416303</v>
      </c>
      <c r="M72" s="171">
        <f t="shared" si="7"/>
        <v>2.5104253562906051</v>
      </c>
      <c r="N72" s="172">
        <f t="shared" si="8"/>
        <v>33.755812642706907</v>
      </c>
      <c r="O72" s="171">
        <v>0</v>
      </c>
      <c r="P72" s="171">
        <v>0</v>
      </c>
      <c r="Q72" s="171">
        <v>0</v>
      </c>
      <c r="R72" s="172">
        <f t="shared" si="9"/>
        <v>33.755812642706907</v>
      </c>
    </row>
    <row r="73" spans="1:18" x14ac:dyDescent="0.25">
      <c r="A73" s="129">
        <v>6</v>
      </c>
      <c r="B73" s="164">
        <f t="shared" si="4"/>
        <v>45444</v>
      </c>
      <c r="C73" s="184">
        <f t="shared" si="21"/>
        <v>45476</v>
      </c>
      <c r="D73" s="184">
        <f t="shared" si="21"/>
        <v>45497</v>
      </c>
      <c r="E73" s="173" t="s">
        <v>83</v>
      </c>
      <c r="F73" s="129">
        <v>9</v>
      </c>
      <c r="G73" s="166">
        <v>53</v>
      </c>
      <c r="H73" s="167">
        <f t="shared" si="5"/>
        <v>9.9985597205614507</v>
      </c>
      <c r="I73" s="167">
        <f t="shared" si="20"/>
        <v>10.866487145184125</v>
      </c>
      <c r="J73" s="168">
        <f t="shared" si="2"/>
        <v>575.92381869475867</v>
      </c>
      <c r="K73" s="169">
        <f t="shared" si="11"/>
        <v>529.92366518975689</v>
      </c>
      <c r="L73" s="174">
        <f t="shared" si="22"/>
        <v>46.000153505001776</v>
      </c>
      <c r="M73" s="171">
        <f t="shared" si="7"/>
        <v>3.6959039967611687</v>
      </c>
      <c r="N73" s="172">
        <f t="shared" si="8"/>
        <v>49.696057501762944</v>
      </c>
      <c r="O73" s="171">
        <v>0</v>
      </c>
      <c r="P73" s="171">
        <v>0</v>
      </c>
      <c r="Q73" s="171">
        <v>0</v>
      </c>
      <c r="R73" s="172">
        <f t="shared" si="9"/>
        <v>49.696057501762944</v>
      </c>
    </row>
    <row r="74" spans="1:18" x14ac:dyDescent="0.25">
      <c r="A74" s="93">
        <v>7</v>
      </c>
      <c r="B74" s="164">
        <f t="shared" si="4"/>
        <v>45474</v>
      </c>
      <c r="C74" s="184">
        <f t="shared" si="21"/>
        <v>45509</v>
      </c>
      <c r="D74" s="184">
        <f t="shared" si="21"/>
        <v>45530</v>
      </c>
      <c r="E74" s="173" t="s">
        <v>83</v>
      </c>
      <c r="F74" s="129">
        <v>9</v>
      </c>
      <c r="G74" s="166">
        <v>53</v>
      </c>
      <c r="H74" s="167">
        <f t="shared" si="5"/>
        <v>9.9985597205614507</v>
      </c>
      <c r="I74" s="167">
        <f t="shared" si="20"/>
        <v>10.866487145184125</v>
      </c>
      <c r="J74" s="168">
        <f t="shared" si="2"/>
        <v>575.92381869475867</v>
      </c>
      <c r="K74" s="175">
        <f t="shared" si="11"/>
        <v>529.92366518975689</v>
      </c>
      <c r="L74" s="174">
        <f t="shared" si="22"/>
        <v>46.000153505001776</v>
      </c>
      <c r="M74" s="171">
        <f t="shared" si="7"/>
        <v>3.6959039967611687</v>
      </c>
      <c r="N74" s="172">
        <f t="shared" si="8"/>
        <v>49.696057501762944</v>
      </c>
      <c r="O74" s="171">
        <v>0</v>
      </c>
      <c r="P74" s="171">
        <v>0</v>
      </c>
      <c r="Q74" s="171">
        <v>0</v>
      </c>
      <c r="R74" s="172">
        <f t="shared" si="9"/>
        <v>49.696057501762944</v>
      </c>
    </row>
    <row r="75" spans="1:18" x14ac:dyDescent="0.25">
      <c r="A75" s="129">
        <v>8</v>
      </c>
      <c r="B75" s="164">
        <f t="shared" si="4"/>
        <v>45505</v>
      </c>
      <c r="C75" s="184">
        <f t="shared" si="21"/>
        <v>45539</v>
      </c>
      <c r="D75" s="184">
        <f t="shared" si="21"/>
        <v>45559</v>
      </c>
      <c r="E75" s="173" t="s">
        <v>83</v>
      </c>
      <c r="F75" s="129">
        <v>9</v>
      </c>
      <c r="G75" s="166">
        <v>54</v>
      </c>
      <c r="H75" s="167">
        <f t="shared" si="5"/>
        <v>9.9985597205614507</v>
      </c>
      <c r="I75" s="167">
        <f t="shared" si="20"/>
        <v>10.866487145184125</v>
      </c>
      <c r="J75" s="168">
        <f t="shared" si="2"/>
        <v>586.79030583994279</v>
      </c>
      <c r="K75" s="175">
        <f t="shared" si="11"/>
        <v>539.92222491031839</v>
      </c>
      <c r="L75" s="174">
        <f t="shared" si="22"/>
        <v>46.868080929624398</v>
      </c>
      <c r="M75" s="171">
        <f t="shared" si="7"/>
        <v>3.7656380344359079</v>
      </c>
      <c r="N75" s="172">
        <f t="shared" si="8"/>
        <v>50.633718964060307</v>
      </c>
      <c r="O75" s="171">
        <v>0</v>
      </c>
      <c r="P75" s="171">
        <v>0</v>
      </c>
      <c r="Q75" s="171">
        <v>0</v>
      </c>
      <c r="R75" s="172">
        <f t="shared" si="9"/>
        <v>50.633718964060307</v>
      </c>
    </row>
    <row r="76" spans="1:18" x14ac:dyDescent="0.25">
      <c r="A76" s="129">
        <v>9</v>
      </c>
      <c r="B76" s="164">
        <f t="shared" si="4"/>
        <v>45536</v>
      </c>
      <c r="C76" s="184">
        <f t="shared" si="21"/>
        <v>45568</v>
      </c>
      <c r="D76" s="184">
        <f t="shared" si="21"/>
        <v>45589</v>
      </c>
      <c r="E76" s="173" t="s">
        <v>83</v>
      </c>
      <c r="F76" s="129">
        <v>9</v>
      </c>
      <c r="G76" s="166">
        <v>48</v>
      </c>
      <c r="H76" s="167">
        <f t="shared" si="5"/>
        <v>9.9985597205614507</v>
      </c>
      <c r="I76" s="167">
        <f t="shared" si="20"/>
        <v>10.866487145184125</v>
      </c>
      <c r="J76" s="168">
        <f t="shared" si="2"/>
        <v>521.59138296883805</v>
      </c>
      <c r="K76" s="175">
        <f t="shared" si="11"/>
        <v>479.93086658694961</v>
      </c>
      <c r="L76" s="174">
        <f t="shared" si="22"/>
        <v>41.660516381888442</v>
      </c>
      <c r="M76" s="171">
        <f t="shared" si="7"/>
        <v>3.3472338083874735</v>
      </c>
      <c r="N76" s="172">
        <f t="shared" si="8"/>
        <v>45.007750190275914</v>
      </c>
      <c r="O76" s="171">
        <v>0</v>
      </c>
      <c r="P76" s="171">
        <v>0</v>
      </c>
      <c r="Q76" s="171">
        <v>0</v>
      </c>
      <c r="R76" s="172">
        <f t="shared" si="9"/>
        <v>45.007750190275914</v>
      </c>
    </row>
    <row r="77" spans="1:18" x14ac:dyDescent="0.25">
      <c r="A77" s="93">
        <v>10</v>
      </c>
      <c r="B77" s="164">
        <f t="shared" si="4"/>
        <v>45566</v>
      </c>
      <c r="C77" s="184">
        <f t="shared" si="21"/>
        <v>45601</v>
      </c>
      <c r="D77" s="184">
        <f t="shared" si="21"/>
        <v>45621</v>
      </c>
      <c r="E77" s="173" t="s">
        <v>83</v>
      </c>
      <c r="F77" s="129">
        <v>9</v>
      </c>
      <c r="G77" s="166">
        <v>41</v>
      </c>
      <c r="H77" s="167">
        <f t="shared" si="5"/>
        <v>9.9985597205614507</v>
      </c>
      <c r="I77" s="167">
        <f t="shared" si="20"/>
        <v>10.866487145184125</v>
      </c>
      <c r="J77" s="168">
        <f t="shared" si="2"/>
        <v>445.52597295254913</v>
      </c>
      <c r="K77" s="175">
        <f t="shared" si="11"/>
        <v>409.94094854301949</v>
      </c>
      <c r="L77" s="174">
        <f t="shared" si="22"/>
        <v>35.585024409529638</v>
      </c>
      <c r="M77" s="171">
        <f t="shared" si="7"/>
        <v>2.8590955446643003</v>
      </c>
      <c r="N77" s="172">
        <f t="shared" si="8"/>
        <v>38.444119954193937</v>
      </c>
      <c r="O77" s="171">
        <v>0</v>
      </c>
      <c r="P77" s="171">
        <v>0</v>
      </c>
      <c r="Q77" s="171">
        <v>0</v>
      </c>
      <c r="R77" s="172">
        <f t="shared" si="9"/>
        <v>38.444119954193937</v>
      </c>
    </row>
    <row r="78" spans="1:18" x14ac:dyDescent="0.25">
      <c r="A78" s="129">
        <v>11</v>
      </c>
      <c r="B78" s="164">
        <f t="shared" si="4"/>
        <v>45597</v>
      </c>
      <c r="C78" s="184">
        <f t="shared" si="21"/>
        <v>45630</v>
      </c>
      <c r="D78" s="184">
        <f t="shared" si="21"/>
        <v>45650</v>
      </c>
      <c r="E78" s="173" t="s">
        <v>83</v>
      </c>
      <c r="F78" s="129">
        <v>9</v>
      </c>
      <c r="G78" s="166">
        <v>22</v>
      </c>
      <c r="H78" s="167">
        <f t="shared" si="5"/>
        <v>9.9985597205614507</v>
      </c>
      <c r="I78" s="167">
        <f t="shared" si="20"/>
        <v>10.866487145184125</v>
      </c>
      <c r="J78" s="168">
        <f t="shared" si="2"/>
        <v>239.06271719405075</v>
      </c>
      <c r="K78" s="175">
        <f>+$G78*H78</f>
        <v>219.96831385235191</v>
      </c>
      <c r="L78" s="174">
        <f t="shared" si="22"/>
        <v>19.094403341698836</v>
      </c>
      <c r="M78" s="171">
        <f t="shared" si="7"/>
        <v>1.5341488288442586</v>
      </c>
      <c r="N78" s="172">
        <f t="shared" si="8"/>
        <v>20.628552170543095</v>
      </c>
      <c r="O78" s="171">
        <v>0</v>
      </c>
      <c r="P78" s="171">
        <v>0</v>
      </c>
      <c r="Q78" s="171">
        <v>0</v>
      </c>
      <c r="R78" s="172">
        <f t="shared" si="9"/>
        <v>20.628552170543095</v>
      </c>
    </row>
    <row r="79" spans="1:18" s="188" customFormat="1" x14ac:dyDescent="0.25">
      <c r="A79" s="129">
        <v>12</v>
      </c>
      <c r="B79" s="186">
        <f t="shared" si="4"/>
        <v>45627</v>
      </c>
      <c r="C79" s="189">
        <f t="shared" si="21"/>
        <v>45660</v>
      </c>
      <c r="D79" s="189">
        <f t="shared" si="21"/>
        <v>45681</v>
      </c>
      <c r="E79" s="190" t="s">
        <v>83</v>
      </c>
      <c r="F79" s="140">
        <v>9</v>
      </c>
      <c r="G79" s="166">
        <v>37</v>
      </c>
      <c r="H79" s="176">
        <f t="shared" si="5"/>
        <v>9.9985597205614507</v>
      </c>
      <c r="I79" s="176">
        <f t="shared" si="20"/>
        <v>10.866487145184125</v>
      </c>
      <c r="J79" s="177">
        <f t="shared" si="2"/>
        <v>402.06002437181263</v>
      </c>
      <c r="K79" s="178">
        <f>+$G79*H79</f>
        <v>369.94670966077365</v>
      </c>
      <c r="L79" s="179">
        <f t="shared" si="22"/>
        <v>32.113314711038981</v>
      </c>
      <c r="M79" s="171">
        <f t="shared" si="7"/>
        <v>2.580159393965344</v>
      </c>
      <c r="N79" s="172">
        <f t="shared" si="8"/>
        <v>34.693474105004327</v>
      </c>
      <c r="O79" s="171">
        <v>0</v>
      </c>
      <c r="P79" s="171">
        <v>0</v>
      </c>
      <c r="Q79" s="171">
        <v>0</v>
      </c>
      <c r="R79" s="172">
        <f t="shared" si="9"/>
        <v>34.693474105004327</v>
      </c>
    </row>
    <row r="80" spans="1:18" s="50" customFormat="1" ht="12.75" customHeight="1" x14ac:dyDescent="0.25">
      <c r="A80" s="93">
        <v>1</v>
      </c>
      <c r="B80" s="164">
        <f t="shared" si="4"/>
        <v>45292</v>
      </c>
      <c r="C80" s="181">
        <f t="shared" ref="C80:D91" si="23">+C56</f>
        <v>45327</v>
      </c>
      <c r="D80" s="181">
        <f t="shared" si="23"/>
        <v>45348</v>
      </c>
      <c r="E80" s="165" t="s">
        <v>9</v>
      </c>
      <c r="F80" s="93">
        <v>9</v>
      </c>
      <c r="G80" s="166">
        <v>75</v>
      </c>
      <c r="H80" s="167">
        <f t="shared" si="5"/>
        <v>9.9985597205614507</v>
      </c>
      <c r="I80" s="167">
        <f t="shared" si="20"/>
        <v>10.866487145184125</v>
      </c>
      <c r="J80" s="168">
        <f t="shared" si="2"/>
        <v>814.98653588880939</v>
      </c>
      <c r="K80" s="169">
        <f t="shared" si="11"/>
        <v>749.8919790421088</v>
      </c>
      <c r="L80" s="170">
        <f t="shared" si="19"/>
        <v>65.094556846700584</v>
      </c>
      <c r="M80" s="171">
        <f t="shared" si="7"/>
        <v>5.2300528256054273</v>
      </c>
      <c r="N80" s="172">
        <f t="shared" si="8"/>
        <v>70.324609672306011</v>
      </c>
      <c r="O80" s="171">
        <v>0</v>
      </c>
      <c r="P80" s="171">
        <v>0</v>
      </c>
      <c r="Q80" s="171">
        <v>0</v>
      </c>
      <c r="R80" s="172">
        <f t="shared" si="9"/>
        <v>70.324609672306011</v>
      </c>
    </row>
    <row r="81" spans="1:18" x14ac:dyDescent="0.25">
      <c r="A81" s="129">
        <v>2</v>
      </c>
      <c r="B81" s="164">
        <f t="shared" si="4"/>
        <v>45323</v>
      </c>
      <c r="C81" s="184">
        <f t="shared" si="23"/>
        <v>45356</v>
      </c>
      <c r="D81" s="184">
        <f t="shared" si="23"/>
        <v>45376</v>
      </c>
      <c r="E81" s="173" t="s">
        <v>9</v>
      </c>
      <c r="F81" s="129">
        <v>9</v>
      </c>
      <c r="G81" s="166">
        <v>54</v>
      </c>
      <c r="H81" s="167">
        <f t="shared" si="5"/>
        <v>9.9985597205614507</v>
      </c>
      <c r="I81" s="167">
        <f t="shared" si="20"/>
        <v>10.866487145184125</v>
      </c>
      <c r="J81" s="168">
        <f t="shared" si="2"/>
        <v>586.79030583994279</v>
      </c>
      <c r="K81" s="169">
        <f t="shared" si="11"/>
        <v>539.92222491031839</v>
      </c>
      <c r="L81" s="170">
        <f t="shared" si="19"/>
        <v>46.868080929624398</v>
      </c>
      <c r="M81" s="171">
        <f t="shared" si="7"/>
        <v>3.7656380344359079</v>
      </c>
      <c r="N81" s="172">
        <f t="shared" si="8"/>
        <v>50.633718964060307</v>
      </c>
      <c r="O81" s="171">
        <v>0</v>
      </c>
      <c r="P81" s="171">
        <v>0</v>
      </c>
      <c r="Q81" s="171">
        <v>0</v>
      </c>
      <c r="R81" s="172">
        <f t="shared" si="9"/>
        <v>50.633718964060307</v>
      </c>
    </row>
    <row r="82" spans="1:18" x14ac:dyDescent="0.25">
      <c r="A82" s="129">
        <v>3</v>
      </c>
      <c r="B82" s="164">
        <f t="shared" si="4"/>
        <v>45352</v>
      </c>
      <c r="C82" s="184">
        <f t="shared" si="23"/>
        <v>45385</v>
      </c>
      <c r="D82" s="184">
        <f t="shared" si="23"/>
        <v>45406</v>
      </c>
      <c r="E82" s="173" t="s">
        <v>9</v>
      </c>
      <c r="F82" s="129">
        <v>9</v>
      </c>
      <c r="G82" s="166">
        <v>49</v>
      </c>
      <c r="H82" s="167">
        <f t="shared" si="5"/>
        <v>9.9985597205614507</v>
      </c>
      <c r="I82" s="167">
        <f t="shared" si="20"/>
        <v>10.866487145184125</v>
      </c>
      <c r="J82" s="168">
        <f t="shared" si="2"/>
        <v>532.45787011402217</v>
      </c>
      <c r="K82" s="169">
        <f t="shared" si="11"/>
        <v>489.92942630751111</v>
      </c>
      <c r="L82" s="170">
        <f>+J82-K82</f>
        <v>42.528443806511063</v>
      </c>
      <c r="M82" s="171">
        <f t="shared" si="7"/>
        <v>3.4169678460622128</v>
      </c>
      <c r="N82" s="172">
        <f t="shared" si="8"/>
        <v>45.945411652573277</v>
      </c>
      <c r="O82" s="171">
        <v>0</v>
      </c>
      <c r="P82" s="171">
        <v>0</v>
      </c>
      <c r="Q82" s="171">
        <v>0</v>
      </c>
      <c r="R82" s="172">
        <f t="shared" si="9"/>
        <v>45.945411652573277</v>
      </c>
    </row>
    <row r="83" spans="1:18" ht="12" customHeight="1" x14ac:dyDescent="0.25">
      <c r="A83" s="93">
        <v>4</v>
      </c>
      <c r="B83" s="164">
        <f t="shared" si="4"/>
        <v>45383</v>
      </c>
      <c r="C83" s="184">
        <f t="shared" si="23"/>
        <v>45415</v>
      </c>
      <c r="D83" s="184">
        <f t="shared" si="23"/>
        <v>45436</v>
      </c>
      <c r="E83" s="52" t="s">
        <v>9</v>
      </c>
      <c r="F83" s="129">
        <v>9</v>
      </c>
      <c r="G83" s="166">
        <v>43</v>
      </c>
      <c r="H83" s="167">
        <f t="shared" si="5"/>
        <v>9.9985597205614507</v>
      </c>
      <c r="I83" s="167">
        <f t="shared" si="20"/>
        <v>10.866487145184125</v>
      </c>
      <c r="J83" s="168">
        <f t="shared" si="2"/>
        <v>467.25894724291737</v>
      </c>
      <c r="K83" s="169">
        <f t="shared" si="11"/>
        <v>429.93806798414238</v>
      </c>
      <c r="L83" s="170">
        <f t="shared" ref="L83:L93" si="24">+J83-K83</f>
        <v>37.320879258774994</v>
      </c>
      <c r="M83" s="171">
        <f t="shared" si="7"/>
        <v>2.9985636200137784</v>
      </c>
      <c r="N83" s="172">
        <f t="shared" si="8"/>
        <v>40.31944287878877</v>
      </c>
      <c r="O83" s="171">
        <v>0</v>
      </c>
      <c r="P83" s="171">
        <v>0</v>
      </c>
      <c r="Q83" s="171">
        <v>0</v>
      </c>
      <c r="R83" s="172">
        <f t="shared" si="9"/>
        <v>40.31944287878877</v>
      </c>
    </row>
    <row r="84" spans="1:18" ht="12" customHeight="1" x14ac:dyDescent="0.25">
      <c r="A84" s="129">
        <v>5</v>
      </c>
      <c r="B84" s="164">
        <f t="shared" si="4"/>
        <v>45413</v>
      </c>
      <c r="C84" s="184">
        <f t="shared" si="23"/>
        <v>45448</v>
      </c>
      <c r="D84" s="184">
        <f t="shared" si="23"/>
        <v>45467</v>
      </c>
      <c r="E84" s="52" t="s">
        <v>9</v>
      </c>
      <c r="F84" s="129">
        <v>9</v>
      </c>
      <c r="G84" s="166">
        <v>50</v>
      </c>
      <c r="H84" s="167">
        <f t="shared" si="5"/>
        <v>9.9985597205614507</v>
      </c>
      <c r="I84" s="167">
        <f t="shared" si="20"/>
        <v>10.866487145184125</v>
      </c>
      <c r="J84" s="168">
        <f t="shared" si="2"/>
        <v>543.32435725920629</v>
      </c>
      <c r="K84" s="169">
        <f t="shared" si="11"/>
        <v>499.92798602807255</v>
      </c>
      <c r="L84" s="170">
        <f t="shared" si="24"/>
        <v>43.396371231133742</v>
      </c>
      <c r="M84" s="171">
        <f t="shared" si="7"/>
        <v>3.4867018837369517</v>
      </c>
      <c r="N84" s="172">
        <f t="shared" si="8"/>
        <v>46.88307311487069</v>
      </c>
      <c r="O84" s="171">
        <v>0</v>
      </c>
      <c r="P84" s="171">
        <v>0</v>
      </c>
      <c r="Q84" s="171">
        <v>0</v>
      </c>
      <c r="R84" s="172">
        <f t="shared" si="9"/>
        <v>46.88307311487069</v>
      </c>
    </row>
    <row r="85" spans="1:18" x14ac:dyDescent="0.25">
      <c r="A85" s="129">
        <v>6</v>
      </c>
      <c r="B85" s="164">
        <f t="shared" si="4"/>
        <v>45444</v>
      </c>
      <c r="C85" s="184">
        <f t="shared" si="23"/>
        <v>45476</v>
      </c>
      <c r="D85" s="184">
        <f t="shared" si="23"/>
        <v>45497</v>
      </c>
      <c r="E85" s="52" t="s">
        <v>9</v>
      </c>
      <c r="F85" s="129">
        <v>9</v>
      </c>
      <c r="G85" s="166">
        <v>59</v>
      </c>
      <c r="H85" s="167">
        <f t="shared" ref="H85:H148" si="25">+$K$3</f>
        <v>9.9985597205614507</v>
      </c>
      <c r="I85" s="167">
        <f t="shared" si="20"/>
        <v>10.866487145184125</v>
      </c>
      <c r="J85" s="168">
        <f t="shared" si="2"/>
        <v>641.12274156586341</v>
      </c>
      <c r="K85" s="169">
        <f t="shared" si="11"/>
        <v>589.91502351312556</v>
      </c>
      <c r="L85" s="174">
        <f t="shared" si="24"/>
        <v>51.207718052737846</v>
      </c>
      <c r="M85" s="171">
        <f t="shared" ref="M85:M148" si="26">G85/$G$212*$M$14</f>
        <v>4.1143082228096031</v>
      </c>
      <c r="N85" s="172">
        <f t="shared" ref="N85:N148" si="27">SUM(L85:M85)</f>
        <v>55.322026275547451</v>
      </c>
      <c r="O85" s="171">
        <v>0</v>
      </c>
      <c r="P85" s="171">
        <v>0</v>
      </c>
      <c r="Q85" s="171">
        <v>0</v>
      </c>
      <c r="R85" s="172">
        <f t="shared" ref="R85:R148" si="28">+N85-Q85</f>
        <v>55.322026275547451</v>
      </c>
    </row>
    <row r="86" spans="1:18" x14ac:dyDescent="0.25">
      <c r="A86" s="93">
        <v>7</v>
      </c>
      <c r="B86" s="164">
        <f t="shared" si="4"/>
        <v>45474</v>
      </c>
      <c r="C86" s="184">
        <f t="shared" si="23"/>
        <v>45509</v>
      </c>
      <c r="D86" s="184">
        <f t="shared" si="23"/>
        <v>45530</v>
      </c>
      <c r="E86" s="52" t="s">
        <v>9</v>
      </c>
      <c r="F86" s="129">
        <v>9</v>
      </c>
      <c r="G86" s="166">
        <v>60</v>
      </c>
      <c r="H86" s="167">
        <f t="shared" si="25"/>
        <v>9.9985597205614507</v>
      </c>
      <c r="I86" s="167">
        <f t="shared" si="20"/>
        <v>10.866487145184125</v>
      </c>
      <c r="J86" s="168">
        <f t="shared" si="2"/>
        <v>651.98922871104753</v>
      </c>
      <c r="K86" s="175">
        <f t="shared" si="11"/>
        <v>599.91358323368706</v>
      </c>
      <c r="L86" s="174">
        <f t="shared" si="24"/>
        <v>52.075645477360467</v>
      </c>
      <c r="M86" s="171">
        <f t="shared" si="26"/>
        <v>4.1840422604843424</v>
      </c>
      <c r="N86" s="172">
        <f t="shared" si="27"/>
        <v>56.259687737844807</v>
      </c>
      <c r="O86" s="171">
        <v>0</v>
      </c>
      <c r="P86" s="171">
        <v>0</v>
      </c>
      <c r="Q86" s="171">
        <v>0</v>
      </c>
      <c r="R86" s="172">
        <f t="shared" si="28"/>
        <v>56.259687737844807</v>
      </c>
    </row>
    <row r="87" spans="1:18" x14ac:dyDescent="0.25">
      <c r="A87" s="129">
        <v>8</v>
      </c>
      <c r="B87" s="164">
        <f t="shared" si="4"/>
        <v>45505</v>
      </c>
      <c r="C87" s="184">
        <f t="shared" si="23"/>
        <v>45539</v>
      </c>
      <c r="D87" s="184">
        <f t="shared" si="23"/>
        <v>45559</v>
      </c>
      <c r="E87" s="52" t="s">
        <v>9</v>
      </c>
      <c r="F87" s="129">
        <v>9</v>
      </c>
      <c r="G87" s="166">
        <v>56</v>
      </c>
      <c r="H87" s="167">
        <f t="shared" si="25"/>
        <v>9.9985597205614507</v>
      </c>
      <c r="I87" s="167">
        <f t="shared" si="20"/>
        <v>10.866487145184125</v>
      </c>
      <c r="J87" s="168">
        <f t="shared" si="2"/>
        <v>608.52328013031104</v>
      </c>
      <c r="K87" s="175">
        <f t="shared" si="11"/>
        <v>559.91934435144128</v>
      </c>
      <c r="L87" s="174">
        <f t="shared" si="24"/>
        <v>48.603935778869754</v>
      </c>
      <c r="M87" s="171">
        <f t="shared" si="26"/>
        <v>3.9051061097853856</v>
      </c>
      <c r="N87" s="172">
        <f t="shared" si="27"/>
        <v>52.50904188865514</v>
      </c>
      <c r="O87" s="171">
        <v>0</v>
      </c>
      <c r="P87" s="171">
        <v>0</v>
      </c>
      <c r="Q87" s="171">
        <v>0</v>
      </c>
      <c r="R87" s="172">
        <f t="shared" si="28"/>
        <v>52.50904188865514</v>
      </c>
    </row>
    <row r="88" spans="1:18" x14ac:dyDescent="0.25">
      <c r="A88" s="129">
        <v>9</v>
      </c>
      <c r="B88" s="164">
        <f t="shared" si="4"/>
        <v>45536</v>
      </c>
      <c r="C88" s="184">
        <f t="shared" si="23"/>
        <v>45568</v>
      </c>
      <c r="D88" s="184">
        <f t="shared" si="23"/>
        <v>45589</v>
      </c>
      <c r="E88" s="52" t="s">
        <v>9</v>
      </c>
      <c r="F88" s="129">
        <v>9</v>
      </c>
      <c r="G88" s="166">
        <v>55</v>
      </c>
      <c r="H88" s="167">
        <f t="shared" si="25"/>
        <v>9.9985597205614507</v>
      </c>
      <c r="I88" s="167">
        <f t="shared" si="20"/>
        <v>10.866487145184125</v>
      </c>
      <c r="J88" s="168">
        <f t="shared" si="2"/>
        <v>597.65679298512691</v>
      </c>
      <c r="K88" s="175">
        <f t="shared" si="11"/>
        <v>549.92078463087978</v>
      </c>
      <c r="L88" s="174">
        <f t="shared" si="24"/>
        <v>47.736008354247133</v>
      </c>
      <c r="M88" s="171">
        <f t="shared" si="26"/>
        <v>3.8353720721106463</v>
      </c>
      <c r="N88" s="172">
        <f t="shared" si="27"/>
        <v>51.571380426357777</v>
      </c>
      <c r="O88" s="171">
        <v>0</v>
      </c>
      <c r="P88" s="171">
        <v>0</v>
      </c>
      <c r="Q88" s="171">
        <v>0</v>
      </c>
      <c r="R88" s="172">
        <f t="shared" si="28"/>
        <v>51.571380426357777</v>
      </c>
    </row>
    <row r="89" spans="1:18" x14ac:dyDescent="0.25">
      <c r="A89" s="93">
        <v>10</v>
      </c>
      <c r="B89" s="164">
        <f t="shared" si="4"/>
        <v>45566</v>
      </c>
      <c r="C89" s="184">
        <f t="shared" si="23"/>
        <v>45601</v>
      </c>
      <c r="D89" s="184">
        <f t="shared" si="23"/>
        <v>45621</v>
      </c>
      <c r="E89" s="52" t="s">
        <v>9</v>
      </c>
      <c r="F89" s="129">
        <v>9</v>
      </c>
      <c r="G89" s="166">
        <v>51</v>
      </c>
      <c r="H89" s="167">
        <f t="shared" si="25"/>
        <v>9.9985597205614507</v>
      </c>
      <c r="I89" s="167">
        <f t="shared" si="20"/>
        <v>10.866487145184125</v>
      </c>
      <c r="J89" s="168">
        <f t="shared" si="2"/>
        <v>554.19084440439042</v>
      </c>
      <c r="K89" s="175">
        <f t="shared" si="11"/>
        <v>509.926545748634</v>
      </c>
      <c r="L89" s="174">
        <f t="shared" si="24"/>
        <v>44.26429865575642</v>
      </c>
      <c r="M89" s="171">
        <f t="shared" si="26"/>
        <v>3.5564359214116905</v>
      </c>
      <c r="N89" s="172">
        <f t="shared" si="27"/>
        <v>47.82073457716811</v>
      </c>
      <c r="O89" s="171">
        <v>0</v>
      </c>
      <c r="P89" s="171">
        <v>0</v>
      </c>
      <c r="Q89" s="171">
        <v>0</v>
      </c>
      <c r="R89" s="172">
        <f t="shared" si="28"/>
        <v>47.82073457716811</v>
      </c>
    </row>
    <row r="90" spans="1:18" x14ac:dyDescent="0.25">
      <c r="A90" s="129">
        <v>11</v>
      </c>
      <c r="B90" s="164">
        <f t="shared" si="4"/>
        <v>45597</v>
      </c>
      <c r="C90" s="184">
        <f t="shared" si="23"/>
        <v>45630</v>
      </c>
      <c r="D90" s="184">
        <f t="shared" si="23"/>
        <v>45650</v>
      </c>
      <c r="E90" s="52" t="s">
        <v>9</v>
      </c>
      <c r="F90" s="129">
        <v>9</v>
      </c>
      <c r="G90" s="166">
        <v>40</v>
      </c>
      <c r="H90" s="167">
        <f t="shared" si="25"/>
        <v>9.9985597205614507</v>
      </c>
      <c r="I90" s="167">
        <f t="shared" si="20"/>
        <v>10.866487145184125</v>
      </c>
      <c r="J90" s="168">
        <f t="shared" si="2"/>
        <v>434.659485807365</v>
      </c>
      <c r="K90" s="175">
        <f t="shared" si="11"/>
        <v>399.94238882245804</v>
      </c>
      <c r="L90" s="174">
        <f t="shared" si="24"/>
        <v>34.717096984906959</v>
      </c>
      <c r="M90" s="171">
        <f t="shared" si="26"/>
        <v>2.7893615069895614</v>
      </c>
      <c r="N90" s="172">
        <f t="shared" si="27"/>
        <v>37.506458491896524</v>
      </c>
      <c r="O90" s="171">
        <v>0</v>
      </c>
      <c r="P90" s="171">
        <v>0</v>
      </c>
      <c r="Q90" s="171">
        <v>0</v>
      </c>
      <c r="R90" s="172">
        <f t="shared" si="28"/>
        <v>37.506458491896524</v>
      </c>
    </row>
    <row r="91" spans="1:18" s="188" customFormat="1" x14ac:dyDescent="0.25">
      <c r="A91" s="129">
        <v>12</v>
      </c>
      <c r="B91" s="186">
        <f t="shared" si="4"/>
        <v>45627</v>
      </c>
      <c r="C91" s="184">
        <f t="shared" si="23"/>
        <v>45660</v>
      </c>
      <c r="D91" s="184">
        <f t="shared" si="23"/>
        <v>45681</v>
      </c>
      <c r="E91" s="187" t="s">
        <v>9</v>
      </c>
      <c r="F91" s="140">
        <v>9</v>
      </c>
      <c r="G91" s="166">
        <v>51</v>
      </c>
      <c r="H91" s="176">
        <f t="shared" si="25"/>
        <v>9.9985597205614507</v>
      </c>
      <c r="I91" s="176">
        <f t="shared" si="20"/>
        <v>10.866487145184125</v>
      </c>
      <c r="J91" s="177">
        <f t="shared" si="2"/>
        <v>554.19084440439042</v>
      </c>
      <c r="K91" s="178">
        <f t="shared" si="11"/>
        <v>509.926545748634</v>
      </c>
      <c r="L91" s="179">
        <f t="shared" si="24"/>
        <v>44.26429865575642</v>
      </c>
      <c r="M91" s="171">
        <f t="shared" si="26"/>
        <v>3.5564359214116905</v>
      </c>
      <c r="N91" s="172">
        <f t="shared" si="27"/>
        <v>47.82073457716811</v>
      </c>
      <c r="O91" s="171">
        <v>0</v>
      </c>
      <c r="P91" s="171">
        <v>0</v>
      </c>
      <c r="Q91" s="171">
        <v>0</v>
      </c>
      <c r="R91" s="172">
        <f t="shared" si="28"/>
        <v>47.82073457716811</v>
      </c>
    </row>
    <row r="92" spans="1:18" x14ac:dyDescent="0.25">
      <c r="A92" s="93">
        <v>1</v>
      </c>
      <c r="B92" s="164">
        <f t="shared" si="4"/>
        <v>45292</v>
      </c>
      <c r="C92" s="181">
        <f t="shared" ref="C92:D95" si="29">+C80</f>
        <v>45327</v>
      </c>
      <c r="D92" s="181">
        <f t="shared" si="29"/>
        <v>45348</v>
      </c>
      <c r="E92" s="165" t="s">
        <v>8</v>
      </c>
      <c r="F92" s="93">
        <v>9</v>
      </c>
      <c r="G92" s="166">
        <v>94</v>
      </c>
      <c r="H92" s="167">
        <f t="shared" si="25"/>
        <v>9.9985597205614507</v>
      </c>
      <c r="I92" s="167">
        <f t="shared" si="20"/>
        <v>10.866487145184125</v>
      </c>
      <c r="J92" s="168">
        <f t="shared" si="2"/>
        <v>1021.4497916473077</v>
      </c>
      <c r="K92" s="169">
        <f t="shared" si="11"/>
        <v>939.86461373277632</v>
      </c>
      <c r="L92" s="170">
        <f t="shared" si="24"/>
        <v>81.585177914531414</v>
      </c>
      <c r="M92" s="171">
        <f t="shared" si="26"/>
        <v>6.5549995414254694</v>
      </c>
      <c r="N92" s="172">
        <f t="shared" si="27"/>
        <v>88.140177455956888</v>
      </c>
      <c r="O92" s="171">
        <v>0</v>
      </c>
      <c r="P92" s="171">
        <v>0</v>
      </c>
      <c r="Q92" s="171">
        <v>0</v>
      </c>
      <c r="R92" s="172">
        <f t="shared" si="28"/>
        <v>88.140177455956888</v>
      </c>
    </row>
    <row r="93" spans="1:18" x14ac:dyDescent="0.25">
      <c r="A93" s="129">
        <v>2</v>
      </c>
      <c r="B93" s="164">
        <f t="shared" si="4"/>
        <v>45323</v>
      </c>
      <c r="C93" s="184">
        <f t="shared" si="29"/>
        <v>45356</v>
      </c>
      <c r="D93" s="184">
        <f t="shared" si="29"/>
        <v>45376</v>
      </c>
      <c r="E93" s="173" t="s">
        <v>8</v>
      </c>
      <c r="F93" s="129">
        <v>9</v>
      </c>
      <c r="G93" s="166">
        <v>62</v>
      </c>
      <c r="H93" s="167">
        <f t="shared" si="25"/>
        <v>9.9985597205614507</v>
      </c>
      <c r="I93" s="167">
        <f t="shared" si="20"/>
        <v>10.866487145184125</v>
      </c>
      <c r="J93" s="168">
        <f t="shared" si="2"/>
        <v>673.72220300141578</v>
      </c>
      <c r="K93" s="169">
        <f t="shared" si="11"/>
        <v>619.91070267480995</v>
      </c>
      <c r="L93" s="170">
        <f t="shared" si="24"/>
        <v>53.811500326605824</v>
      </c>
      <c r="M93" s="171">
        <f t="shared" si="26"/>
        <v>4.3235103358338201</v>
      </c>
      <c r="N93" s="172">
        <f t="shared" si="27"/>
        <v>58.13501066243964</v>
      </c>
      <c r="O93" s="171">
        <v>0</v>
      </c>
      <c r="P93" s="171">
        <v>0</v>
      </c>
      <c r="Q93" s="171">
        <v>0</v>
      </c>
      <c r="R93" s="172">
        <f t="shared" si="28"/>
        <v>58.13501066243964</v>
      </c>
    </row>
    <row r="94" spans="1:18" x14ac:dyDescent="0.25">
      <c r="A94" s="129">
        <v>3</v>
      </c>
      <c r="B94" s="164">
        <f t="shared" si="4"/>
        <v>45352</v>
      </c>
      <c r="C94" s="184">
        <f t="shared" si="29"/>
        <v>45385</v>
      </c>
      <c r="D94" s="184">
        <f t="shared" si="29"/>
        <v>45406</v>
      </c>
      <c r="E94" s="173" t="s">
        <v>8</v>
      </c>
      <c r="F94" s="129">
        <v>9</v>
      </c>
      <c r="G94" s="166">
        <v>60</v>
      </c>
      <c r="H94" s="167">
        <f t="shared" si="25"/>
        <v>9.9985597205614507</v>
      </c>
      <c r="I94" s="167">
        <f t="shared" si="20"/>
        <v>10.866487145184125</v>
      </c>
      <c r="J94" s="168">
        <f t="shared" si="2"/>
        <v>651.98922871104753</v>
      </c>
      <c r="K94" s="169">
        <f t="shared" ref="K94:K133" si="30">+$G94*H94</f>
        <v>599.91358323368706</v>
      </c>
      <c r="L94" s="170">
        <f>+J94-K94</f>
        <v>52.075645477360467</v>
      </c>
      <c r="M94" s="171">
        <f t="shared" si="26"/>
        <v>4.1840422604843424</v>
      </c>
      <c r="N94" s="172">
        <f t="shared" si="27"/>
        <v>56.259687737844807</v>
      </c>
      <c r="O94" s="171">
        <v>0</v>
      </c>
      <c r="P94" s="171">
        <v>0</v>
      </c>
      <c r="Q94" s="171">
        <v>0</v>
      </c>
      <c r="R94" s="172">
        <f t="shared" si="28"/>
        <v>56.259687737844807</v>
      </c>
    </row>
    <row r="95" spans="1:18" x14ac:dyDescent="0.25">
      <c r="A95" s="93">
        <v>4</v>
      </c>
      <c r="B95" s="164">
        <f t="shared" si="4"/>
        <v>45383</v>
      </c>
      <c r="C95" s="184">
        <f t="shared" si="29"/>
        <v>45415</v>
      </c>
      <c r="D95" s="184">
        <f t="shared" si="29"/>
        <v>45436</v>
      </c>
      <c r="E95" s="173" t="s">
        <v>8</v>
      </c>
      <c r="F95" s="129">
        <v>9</v>
      </c>
      <c r="G95" s="166">
        <v>92</v>
      </c>
      <c r="H95" s="167">
        <f t="shared" si="25"/>
        <v>9.9985597205614507</v>
      </c>
      <c r="I95" s="167">
        <f t="shared" si="20"/>
        <v>10.866487145184125</v>
      </c>
      <c r="J95" s="168">
        <f t="shared" si="2"/>
        <v>999.71681735693949</v>
      </c>
      <c r="K95" s="169">
        <f t="shared" si="30"/>
        <v>919.86749429165343</v>
      </c>
      <c r="L95" s="170">
        <f t="shared" ref="L95:L105" si="31">+J95-K95</f>
        <v>79.849323065286057</v>
      </c>
      <c r="M95" s="171">
        <f t="shared" si="26"/>
        <v>6.4155314660759908</v>
      </c>
      <c r="N95" s="172">
        <f t="shared" si="27"/>
        <v>86.264854531362047</v>
      </c>
      <c r="O95" s="171">
        <v>0</v>
      </c>
      <c r="P95" s="171">
        <v>0</v>
      </c>
      <c r="Q95" s="171">
        <v>0</v>
      </c>
      <c r="R95" s="172">
        <f t="shared" si="28"/>
        <v>86.264854531362047</v>
      </c>
    </row>
    <row r="96" spans="1:18" x14ac:dyDescent="0.25">
      <c r="A96" s="129">
        <v>5</v>
      </c>
      <c r="B96" s="164">
        <f t="shared" si="4"/>
        <v>45413</v>
      </c>
      <c r="C96" s="184">
        <f t="shared" ref="C96:D116" si="32">+C84</f>
        <v>45448</v>
      </c>
      <c r="D96" s="184">
        <f t="shared" si="32"/>
        <v>45467</v>
      </c>
      <c r="E96" s="52" t="s">
        <v>8</v>
      </c>
      <c r="F96" s="129">
        <v>9</v>
      </c>
      <c r="G96" s="166">
        <v>118</v>
      </c>
      <c r="H96" s="167">
        <f t="shared" si="25"/>
        <v>9.9985597205614507</v>
      </c>
      <c r="I96" s="167">
        <f t="shared" si="20"/>
        <v>10.866487145184125</v>
      </c>
      <c r="J96" s="168">
        <f t="shared" si="2"/>
        <v>1282.2454831317268</v>
      </c>
      <c r="K96" s="169">
        <f t="shared" si="30"/>
        <v>1179.8300470262511</v>
      </c>
      <c r="L96" s="170">
        <f t="shared" si="31"/>
        <v>102.41543610547569</v>
      </c>
      <c r="M96" s="171">
        <f t="shared" si="26"/>
        <v>8.2286164456192061</v>
      </c>
      <c r="N96" s="172">
        <f t="shared" si="27"/>
        <v>110.6440525510949</v>
      </c>
      <c r="O96" s="171">
        <v>0</v>
      </c>
      <c r="P96" s="171">
        <v>0</v>
      </c>
      <c r="Q96" s="171">
        <v>0</v>
      </c>
      <c r="R96" s="172">
        <f t="shared" si="28"/>
        <v>110.6440525510949</v>
      </c>
    </row>
    <row r="97" spans="1:18" x14ac:dyDescent="0.25">
      <c r="A97" s="129">
        <v>6</v>
      </c>
      <c r="B97" s="164">
        <f t="shared" si="4"/>
        <v>45444</v>
      </c>
      <c r="C97" s="184">
        <f t="shared" si="32"/>
        <v>45476</v>
      </c>
      <c r="D97" s="184">
        <f t="shared" si="32"/>
        <v>45497</v>
      </c>
      <c r="E97" s="52" t="s">
        <v>8</v>
      </c>
      <c r="F97" s="129">
        <v>9</v>
      </c>
      <c r="G97" s="166">
        <v>143</v>
      </c>
      <c r="H97" s="167">
        <f t="shared" si="25"/>
        <v>9.9985597205614507</v>
      </c>
      <c r="I97" s="167">
        <f t="shared" si="20"/>
        <v>10.866487145184125</v>
      </c>
      <c r="J97" s="168">
        <f t="shared" si="2"/>
        <v>1553.90766176133</v>
      </c>
      <c r="K97" s="169">
        <f t="shared" si="30"/>
        <v>1429.7940400402874</v>
      </c>
      <c r="L97" s="174">
        <f t="shared" si="31"/>
        <v>124.11362172104259</v>
      </c>
      <c r="M97" s="171">
        <f t="shared" si="26"/>
        <v>9.9719673874876804</v>
      </c>
      <c r="N97" s="172">
        <f t="shared" si="27"/>
        <v>134.08558910853026</v>
      </c>
      <c r="O97" s="171">
        <v>0</v>
      </c>
      <c r="P97" s="171">
        <v>0</v>
      </c>
      <c r="Q97" s="171">
        <v>0</v>
      </c>
      <c r="R97" s="172">
        <f t="shared" si="28"/>
        <v>134.08558910853026</v>
      </c>
    </row>
    <row r="98" spans="1:18" x14ac:dyDescent="0.25">
      <c r="A98" s="93">
        <v>7</v>
      </c>
      <c r="B98" s="164">
        <f t="shared" si="4"/>
        <v>45474</v>
      </c>
      <c r="C98" s="184">
        <f t="shared" si="32"/>
        <v>45509</v>
      </c>
      <c r="D98" s="184">
        <f t="shared" si="32"/>
        <v>45530</v>
      </c>
      <c r="E98" s="52" t="s">
        <v>8</v>
      </c>
      <c r="F98" s="129">
        <v>9</v>
      </c>
      <c r="G98" s="166">
        <v>151</v>
      </c>
      <c r="H98" s="167">
        <f t="shared" si="25"/>
        <v>9.9985597205614507</v>
      </c>
      <c r="I98" s="167">
        <f t="shared" si="20"/>
        <v>10.866487145184125</v>
      </c>
      <c r="J98" s="168">
        <f t="shared" si="2"/>
        <v>1640.839558922803</v>
      </c>
      <c r="K98" s="175">
        <f t="shared" si="30"/>
        <v>1509.782517804779</v>
      </c>
      <c r="L98" s="174">
        <f t="shared" si="31"/>
        <v>131.05704111802402</v>
      </c>
      <c r="M98" s="171">
        <f t="shared" si="26"/>
        <v>10.529839688885593</v>
      </c>
      <c r="N98" s="172">
        <f t="shared" si="27"/>
        <v>141.58688080690962</v>
      </c>
      <c r="O98" s="171">
        <v>0</v>
      </c>
      <c r="P98" s="171">
        <v>0</v>
      </c>
      <c r="Q98" s="171">
        <v>0</v>
      </c>
      <c r="R98" s="172">
        <f t="shared" si="28"/>
        <v>141.58688080690962</v>
      </c>
    </row>
    <row r="99" spans="1:18" x14ac:dyDescent="0.25">
      <c r="A99" s="129">
        <v>8</v>
      </c>
      <c r="B99" s="164">
        <f t="shared" si="4"/>
        <v>45505</v>
      </c>
      <c r="C99" s="184">
        <f t="shared" si="32"/>
        <v>45539</v>
      </c>
      <c r="D99" s="184">
        <f t="shared" si="32"/>
        <v>45559</v>
      </c>
      <c r="E99" s="52" t="s">
        <v>8</v>
      </c>
      <c r="F99" s="129">
        <v>9</v>
      </c>
      <c r="G99" s="166">
        <v>157</v>
      </c>
      <c r="H99" s="167">
        <f t="shared" si="25"/>
        <v>9.9985597205614507</v>
      </c>
      <c r="I99" s="167">
        <f t="shared" si="20"/>
        <v>10.866487145184125</v>
      </c>
      <c r="J99" s="168">
        <f t="shared" si="2"/>
        <v>1706.0384817939077</v>
      </c>
      <c r="K99" s="175">
        <f t="shared" si="30"/>
        <v>1569.7738761281478</v>
      </c>
      <c r="L99" s="174">
        <f t="shared" si="31"/>
        <v>136.26460566575997</v>
      </c>
      <c r="M99" s="171">
        <f t="shared" si="26"/>
        <v>10.948243914934027</v>
      </c>
      <c r="N99" s="172">
        <f t="shared" si="27"/>
        <v>147.21284958069401</v>
      </c>
      <c r="O99" s="171">
        <v>0</v>
      </c>
      <c r="P99" s="171">
        <v>0</v>
      </c>
      <c r="Q99" s="171">
        <v>0</v>
      </c>
      <c r="R99" s="172">
        <f t="shared" si="28"/>
        <v>147.21284958069401</v>
      </c>
    </row>
    <row r="100" spans="1:18" x14ac:dyDescent="0.25">
      <c r="A100" s="129">
        <v>9</v>
      </c>
      <c r="B100" s="164">
        <f t="shared" si="4"/>
        <v>45536</v>
      </c>
      <c r="C100" s="184">
        <f t="shared" si="32"/>
        <v>45568</v>
      </c>
      <c r="D100" s="184">
        <f t="shared" si="32"/>
        <v>45589</v>
      </c>
      <c r="E100" s="52" t="s">
        <v>8</v>
      </c>
      <c r="F100" s="129">
        <v>9</v>
      </c>
      <c r="G100" s="166">
        <v>146</v>
      </c>
      <c r="H100" s="167">
        <f t="shared" si="25"/>
        <v>9.9985597205614507</v>
      </c>
      <c r="I100" s="167">
        <f t="shared" si="20"/>
        <v>10.866487145184125</v>
      </c>
      <c r="J100" s="168">
        <f t="shared" si="2"/>
        <v>1586.5071231968823</v>
      </c>
      <c r="K100" s="175">
        <f t="shared" si="30"/>
        <v>1459.7897192019718</v>
      </c>
      <c r="L100" s="174">
        <f t="shared" si="31"/>
        <v>126.71740399491046</v>
      </c>
      <c r="M100" s="171">
        <f t="shared" si="26"/>
        <v>10.181169500511897</v>
      </c>
      <c r="N100" s="172">
        <f t="shared" si="27"/>
        <v>136.89857349542234</v>
      </c>
      <c r="O100" s="171">
        <v>0</v>
      </c>
      <c r="P100" s="171">
        <v>0</v>
      </c>
      <c r="Q100" s="171">
        <v>0</v>
      </c>
      <c r="R100" s="172">
        <f t="shared" si="28"/>
        <v>136.89857349542234</v>
      </c>
    </row>
    <row r="101" spans="1:18" x14ac:dyDescent="0.25">
      <c r="A101" s="93">
        <v>10</v>
      </c>
      <c r="B101" s="164">
        <f t="shared" si="4"/>
        <v>45566</v>
      </c>
      <c r="C101" s="184">
        <f t="shared" si="32"/>
        <v>45601</v>
      </c>
      <c r="D101" s="184">
        <f t="shared" si="32"/>
        <v>45621</v>
      </c>
      <c r="E101" s="52" t="s">
        <v>8</v>
      </c>
      <c r="F101" s="129">
        <v>9</v>
      </c>
      <c r="G101" s="166">
        <v>116</v>
      </c>
      <c r="H101" s="167">
        <f t="shared" si="25"/>
        <v>9.9985597205614507</v>
      </c>
      <c r="I101" s="167">
        <f t="shared" si="20"/>
        <v>10.866487145184125</v>
      </c>
      <c r="J101" s="168">
        <f t="shared" si="2"/>
        <v>1260.5125088413586</v>
      </c>
      <c r="K101" s="175">
        <f t="shared" si="30"/>
        <v>1159.8329275851283</v>
      </c>
      <c r="L101" s="174">
        <f t="shared" si="31"/>
        <v>100.67958125623022</v>
      </c>
      <c r="M101" s="171">
        <f t="shared" si="26"/>
        <v>8.0891483702697276</v>
      </c>
      <c r="N101" s="172">
        <f t="shared" si="27"/>
        <v>108.76872962649995</v>
      </c>
      <c r="O101" s="171">
        <v>0</v>
      </c>
      <c r="P101" s="171">
        <v>0</v>
      </c>
      <c r="Q101" s="171">
        <v>0</v>
      </c>
      <c r="R101" s="172">
        <f t="shared" si="28"/>
        <v>108.76872962649995</v>
      </c>
    </row>
    <row r="102" spans="1:18" x14ac:dyDescent="0.25">
      <c r="A102" s="129">
        <v>11</v>
      </c>
      <c r="B102" s="164">
        <f t="shared" si="4"/>
        <v>45597</v>
      </c>
      <c r="C102" s="184">
        <f t="shared" si="32"/>
        <v>45630</v>
      </c>
      <c r="D102" s="184">
        <f t="shared" si="32"/>
        <v>45650</v>
      </c>
      <c r="E102" s="52" t="s">
        <v>8</v>
      </c>
      <c r="F102" s="129">
        <v>9</v>
      </c>
      <c r="G102" s="166">
        <v>62</v>
      </c>
      <c r="H102" s="167">
        <f t="shared" si="25"/>
        <v>9.9985597205614507</v>
      </c>
      <c r="I102" s="167">
        <f t="shared" si="20"/>
        <v>10.866487145184125</v>
      </c>
      <c r="J102" s="168">
        <f t="shared" si="2"/>
        <v>673.72220300141578</v>
      </c>
      <c r="K102" s="175">
        <f t="shared" si="30"/>
        <v>619.91070267480995</v>
      </c>
      <c r="L102" s="174">
        <f t="shared" si="31"/>
        <v>53.811500326605824</v>
      </c>
      <c r="M102" s="171">
        <f t="shared" si="26"/>
        <v>4.3235103358338201</v>
      </c>
      <c r="N102" s="172">
        <f t="shared" si="27"/>
        <v>58.13501066243964</v>
      </c>
      <c r="O102" s="171">
        <v>0</v>
      </c>
      <c r="P102" s="171">
        <v>0</v>
      </c>
      <c r="Q102" s="171">
        <v>0</v>
      </c>
      <c r="R102" s="172">
        <f t="shared" si="28"/>
        <v>58.13501066243964</v>
      </c>
    </row>
    <row r="103" spans="1:18" s="188" customFormat="1" x14ac:dyDescent="0.25">
      <c r="A103" s="129">
        <v>12</v>
      </c>
      <c r="B103" s="186">
        <f t="shared" si="4"/>
        <v>45627</v>
      </c>
      <c r="C103" s="184">
        <f t="shared" si="32"/>
        <v>45660</v>
      </c>
      <c r="D103" s="184">
        <f t="shared" si="32"/>
        <v>45681</v>
      </c>
      <c r="E103" s="187" t="s">
        <v>8</v>
      </c>
      <c r="F103" s="140">
        <v>9</v>
      </c>
      <c r="G103" s="166">
        <v>77</v>
      </c>
      <c r="H103" s="176">
        <f t="shared" si="25"/>
        <v>9.9985597205614507</v>
      </c>
      <c r="I103" s="176">
        <f t="shared" si="20"/>
        <v>10.866487145184125</v>
      </c>
      <c r="J103" s="177">
        <f t="shared" si="2"/>
        <v>836.71951017917763</v>
      </c>
      <c r="K103" s="178">
        <f t="shared" si="30"/>
        <v>769.88909848323169</v>
      </c>
      <c r="L103" s="179">
        <f t="shared" si="31"/>
        <v>66.830411695945941</v>
      </c>
      <c r="M103" s="171">
        <f t="shared" si="26"/>
        <v>5.369520900954905</v>
      </c>
      <c r="N103" s="172">
        <f t="shared" si="27"/>
        <v>72.199932596900851</v>
      </c>
      <c r="O103" s="171">
        <v>0</v>
      </c>
      <c r="P103" s="171">
        <v>0</v>
      </c>
      <c r="Q103" s="171">
        <v>0</v>
      </c>
      <c r="R103" s="172">
        <f t="shared" si="28"/>
        <v>72.199932596900851</v>
      </c>
    </row>
    <row r="104" spans="1:18" x14ac:dyDescent="0.25">
      <c r="A104" s="93">
        <v>1</v>
      </c>
      <c r="B104" s="164">
        <f t="shared" si="4"/>
        <v>45292</v>
      </c>
      <c r="C104" s="181">
        <f t="shared" si="32"/>
        <v>45327</v>
      </c>
      <c r="D104" s="181">
        <f t="shared" si="32"/>
        <v>45348</v>
      </c>
      <c r="E104" s="165" t="s">
        <v>19</v>
      </c>
      <c r="F104" s="93">
        <v>9</v>
      </c>
      <c r="G104" s="166">
        <v>65</v>
      </c>
      <c r="H104" s="167">
        <f t="shared" si="25"/>
        <v>9.9985597205614507</v>
      </c>
      <c r="I104" s="167">
        <f t="shared" si="20"/>
        <v>10.866487145184125</v>
      </c>
      <c r="J104" s="168">
        <f t="shared" si="2"/>
        <v>706.32166443696815</v>
      </c>
      <c r="K104" s="169">
        <f t="shared" si="30"/>
        <v>649.90638183649435</v>
      </c>
      <c r="L104" s="170">
        <f t="shared" si="31"/>
        <v>56.415282600473802</v>
      </c>
      <c r="M104" s="171">
        <f t="shared" si="26"/>
        <v>4.532712448858037</v>
      </c>
      <c r="N104" s="172">
        <f t="shared" si="27"/>
        <v>60.947995049331837</v>
      </c>
      <c r="O104" s="171">
        <v>0</v>
      </c>
      <c r="P104" s="171">
        <v>0</v>
      </c>
      <c r="Q104" s="171">
        <v>0</v>
      </c>
      <c r="R104" s="172">
        <f t="shared" si="28"/>
        <v>60.947995049331837</v>
      </c>
    </row>
    <row r="105" spans="1:18" x14ac:dyDescent="0.25">
      <c r="A105" s="129">
        <v>2</v>
      </c>
      <c r="B105" s="164">
        <f t="shared" si="4"/>
        <v>45323</v>
      </c>
      <c r="C105" s="184">
        <f t="shared" si="32"/>
        <v>45356</v>
      </c>
      <c r="D105" s="184">
        <f t="shared" si="32"/>
        <v>45376</v>
      </c>
      <c r="E105" s="173" t="s">
        <v>19</v>
      </c>
      <c r="F105" s="129">
        <v>9</v>
      </c>
      <c r="G105" s="166">
        <v>65</v>
      </c>
      <c r="H105" s="167">
        <f t="shared" si="25"/>
        <v>9.9985597205614507</v>
      </c>
      <c r="I105" s="167">
        <f t="shared" si="20"/>
        <v>10.866487145184125</v>
      </c>
      <c r="J105" s="168">
        <f t="shared" si="2"/>
        <v>706.32166443696815</v>
      </c>
      <c r="K105" s="169">
        <f t="shared" si="30"/>
        <v>649.90638183649435</v>
      </c>
      <c r="L105" s="170">
        <f t="shared" si="31"/>
        <v>56.415282600473802</v>
      </c>
      <c r="M105" s="171">
        <f t="shared" si="26"/>
        <v>4.532712448858037</v>
      </c>
      <c r="N105" s="172">
        <f t="shared" si="27"/>
        <v>60.947995049331837</v>
      </c>
      <c r="O105" s="171">
        <v>0</v>
      </c>
      <c r="P105" s="171">
        <v>0</v>
      </c>
      <c r="Q105" s="171">
        <v>0</v>
      </c>
      <c r="R105" s="172">
        <f t="shared" si="28"/>
        <v>60.947995049331837</v>
      </c>
    </row>
    <row r="106" spans="1:18" x14ac:dyDescent="0.25">
      <c r="A106" s="129">
        <v>3</v>
      </c>
      <c r="B106" s="164">
        <f t="shared" si="4"/>
        <v>45352</v>
      </c>
      <c r="C106" s="184">
        <f t="shared" si="32"/>
        <v>45385</v>
      </c>
      <c r="D106" s="184">
        <f t="shared" si="32"/>
        <v>45406</v>
      </c>
      <c r="E106" s="173" t="s">
        <v>19</v>
      </c>
      <c r="F106" s="129">
        <v>9</v>
      </c>
      <c r="G106" s="166">
        <v>64</v>
      </c>
      <c r="H106" s="167">
        <f t="shared" si="25"/>
        <v>9.9985597205614507</v>
      </c>
      <c r="I106" s="167">
        <f t="shared" si="20"/>
        <v>10.866487145184125</v>
      </c>
      <c r="J106" s="168">
        <f t="shared" si="2"/>
        <v>695.45517729178403</v>
      </c>
      <c r="K106" s="169">
        <f t="shared" si="30"/>
        <v>639.90782211593285</v>
      </c>
      <c r="L106" s="170">
        <f>+J106-K106</f>
        <v>55.54735517585118</v>
      </c>
      <c r="M106" s="171">
        <f t="shared" si="26"/>
        <v>4.4629784111832977</v>
      </c>
      <c r="N106" s="172">
        <f t="shared" si="27"/>
        <v>60.010333587034481</v>
      </c>
      <c r="O106" s="171">
        <v>0</v>
      </c>
      <c r="P106" s="171">
        <v>0</v>
      </c>
      <c r="Q106" s="171">
        <v>0</v>
      </c>
      <c r="R106" s="172">
        <f t="shared" si="28"/>
        <v>60.010333587034481</v>
      </c>
    </row>
    <row r="107" spans="1:18" x14ac:dyDescent="0.25">
      <c r="A107" s="93">
        <v>4</v>
      </c>
      <c r="B107" s="164">
        <f t="shared" si="4"/>
        <v>45383</v>
      </c>
      <c r="C107" s="184">
        <f t="shared" si="32"/>
        <v>45415</v>
      </c>
      <c r="D107" s="184">
        <f t="shared" si="32"/>
        <v>45436</v>
      </c>
      <c r="E107" s="52" t="s">
        <v>19</v>
      </c>
      <c r="F107" s="129">
        <v>9</v>
      </c>
      <c r="G107" s="166">
        <v>65</v>
      </c>
      <c r="H107" s="167">
        <f t="shared" si="25"/>
        <v>9.9985597205614507</v>
      </c>
      <c r="I107" s="167">
        <f t="shared" si="20"/>
        <v>10.866487145184125</v>
      </c>
      <c r="J107" s="168">
        <f t="shared" si="2"/>
        <v>706.32166443696815</v>
      </c>
      <c r="K107" s="169">
        <f t="shared" si="30"/>
        <v>649.90638183649435</v>
      </c>
      <c r="L107" s="170">
        <f t="shared" ref="L107:L115" si="33">+J107-K107</f>
        <v>56.415282600473802</v>
      </c>
      <c r="M107" s="171">
        <f t="shared" si="26"/>
        <v>4.532712448858037</v>
      </c>
      <c r="N107" s="172">
        <f t="shared" si="27"/>
        <v>60.947995049331837</v>
      </c>
      <c r="O107" s="171">
        <v>0</v>
      </c>
      <c r="P107" s="171">
        <v>0</v>
      </c>
      <c r="Q107" s="171">
        <v>0</v>
      </c>
      <c r="R107" s="172">
        <f t="shared" si="28"/>
        <v>60.947995049331837</v>
      </c>
    </row>
    <row r="108" spans="1:18" x14ac:dyDescent="0.25">
      <c r="A108" s="129">
        <v>5</v>
      </c>
      <c r="B108" s="164">
        <f t="shared" si="4"/>
        <v>45413</v>
      </c>
      <c r="C108" s="184">
        <f t="shared" si="32"/>
        <v>45448</v>
      </c>
      <c r="D108" s="184">
        <f t="shared" si="32"/>
        <v>45467</v>
      </c>
      <c r="E108" s="52" t="s">
        <v>19</v>
      </c>
      <c r="F108" s="129">
        <v>9</v>
      </c>
      <c r="G108" s="166">
        <v>51</v>
      </c>
      <c r="H108" s="167">
        <f t="shared" si="25"/>
        <v>9.9985597205614507</v>
      </c>
      <c r="I108" s="167">
        <f t="shared" ref="I108:I127" si="34">$J$3</f>
        <v>10.866487145184125</v>
      </c>
      <c r="J108" s="168">
        <f t="shared" si="2"/>
        <v>554.19084440439042</v>
      </c>
      <c r="K108" s="169">
        <f t="shared" si="30"/>
        <v>509.926545748634</v>
      </c>
      <c r="L108" s="170">
        <f t="shared" si="33"/>
        <v>44.26429865575642</v>
      </c>
      <c r="M108" s="171">
        <f t="shared" si="26"/>
        <v>3.5564359214116905</v>
      </c>
      <c r="N108" s="172">
        <f t="shared" si="27"/>
        <v>47.82073457716811</v>
      </c>
      <c r="O108" s="171">
        <v>0</v>
      </c>
      <c r="P108" s="171">
        <v>0</v>
      </c>
      <c r="Q108" s="171">
        <v>0</v>
      </c>
      <c r="R108" s="172">
        <f t="shared" si="28"/>
        <v>47.82073457716811</v>
      </c>
    </row>
    <row r="109" spans="1:18" x14ac:dyDescent="0.25">
      <c r="A109" s="129">
        <v>6</v>
      </c>
      <c r="B109" s="164">
        <f t="shared" ref="B109:B148" si="35">DATE($R$1,A109,1)</f>
        <v>45444</v>
      </c>
      <c r="C109" s="184">
        <f t="shared" si="32"/>
        <v>45476</v>
      </c>
      <c r="D109" s="184">
        <f t="shared" si="32"/>
        <v>45497</v>
      </c>
      <c r="E109" s="52" t="s">
        <v>19</v>
      </c>
      <c r="F109" s="129">
        <v>9</v>
      </c>
      <c r="G109" s="166">
        <v>59</v>
      </c>
      <c r="H109" s="167">
        <f t="shared" si="25"/>
        <v>9.9985597205614507</v>
      </c>
      <c r="I109" s="167">
        <f t="shared" si="34"/>
        <v>10.866487145184125</v>
      </c>
      <c r="J109" s="168">
        <f t="shared" ref="J109:J148" si="36">+$G109*I109</f>
        <v>641.12274156586341</v>
      </c>
      <c r="K109" s="169">
        <f t="shared" si="30"/>
        <v>589.91502351312556</v>
      </c>
      <c r="L109" s="174">
        <f t="shared" si="33"/>
        <v>51.207718052737846</v>
      </c>
      <c r="M109" s="171">
        <f t="shared" si="26"/>
        <v>4.1143082228096031</v>
      </c>
      <c r="N109" s="172">
        <f t="shared" si="27"/>
        <v>55.322026275547451</v>
      </c>
      <c r="O109" s="171">
        <v>0</v>
      </c>
      <c r="P109" s="171">
        <v>0</v>
      </c>
      <c r="Q109" s="171">
        <v>0</v>
      </c>
      <c r="R109" s="172">
        <f t="shared" si="28"/>
        <v>55.322026275547451</v>
      </c>
    </row>
    <row r="110" spans="1:18" x14ac:dyDescent="0.25">
      <c r="A110" s="93">
        <v>7</v>
      </c>
      <c r="B110" s="164">
        <f t="shared" si="35"/>
        <v>45474</v>
      </c>
      <c r="C110" s="184">
        <f t="shared" si="32"/>
        <v>45509</v>
      </c>
      <c r="D110" s="184">
        <f t="shared" si="32"/>
        <v>45530</v>
      </c>
      <c r="E110" s="52" t="s">
        <v>19</v>
      </c>
      <c r="F110" s="129">
        <v>9</v>
      </c>
      <c r="G110" s="166">
        <v>67</v>
      </c>
      <c r="H110" s="167">
        <f t="shared" si="25"/>
        <v>9.9985597205614507</v>
      </c>
      <c r="I110" s="167">
        <f t="shared" si="34"/>
        <v>10.866487145184125</v>
      </c>
      <c r="J110" s="168">
        <f t="shared" si="36"/>
        <v>728.0546387273364</v>
      </c>
      <c r="K110" s="175">
        <f t="shared" si="30"/>
        <v>669.90350127761724</v>
      </c>
      <c r="L110" s="174">
        <f t="shared" si="33"/>
        <v>58.151137449719158</v>
      </c>
      <c r="M110" s="171">
        <f t="shared" si="26"/>
        <v>4.6721805242075147</v>
      </c>
      <c r="N110" s="172">
        <f t="shared" si="27"/>
        <v>62.82331797392667</v>
      </c>
      <c r="O110" s="171">
        <v>0</v>
      </c>
      <c r="P110" s="171">
        <v>0</v>
      </c>
      <c r="Q110" s="171">
        <v>0</v>
      </c>
      <c r="R110" s="172">
        <f t="shared" si="28"/>
        <v>62.82331797392667</v>
      </c>
    </row>
    <row r="111" spans="1:18" x14ac:dyDescent="0.25">
      <c r="A111" s="129">
        <v>8</v>
      </c>
      <c r="B111" s="164">
        <f t="shared" si="35"/>
        <v>45505</v>
      </c>
      <c r="C111" s="184">
        <f t="shared" si="32"/>
        <v>45539</v>
      </c>
      <c r="D111" s="184">
        <f t="shared" si="32"/>
        <v>45559</v>
      </c>
      <c r="E111" s="52" t="s">
        <v>19</v>
      </c>
      <c r="F111" s="129">
        <v>9</v>
      </c>
      <c r="G111" s="166">
        <v>70</v>
      </c>
      <c r="H111" s="167">
        <f t="shared" si="25"/>
        <v>9.9985597205614507</v>
      </c>
      <c r="I111" s="167">
        <f t="shared" si="34"/>
        <v>10.866487145184125</v>
      </c>
      <c r="J111" s="168">
        <f t="shared" si="36"/>
        <v>760.65410016288877</v>
      </c>
      <c r="K111" s="175">
        <f t="shared" si="30"/>
        <v>699.89918043930152</v>
      </c>
      <c r="L111" s="174">
        <f t="shared" si="33"/>
        <v>60.75491972358725</v>
      </c>
      <c r="M111" s="171">
        <f t="shared" si="26"/>
        <v>4.8813826372317317</v>
      </c>
      <c r="N111" s="172">
        <f t="shared" si="27"/>
        <v>65.636302360818988</v>
      </c>
      <c r="O111" s="171">
        <v>0</v>
      </c>
      <c r="P111" s="171">
        <v>0</v>
      </c>
      <c r="Q111" s="171">
        <v>0</v>
      </c>
      <c r="R111" s="172">
        <f t="shared" si="28"/>
        <v>65.636302360818988</v>
      </c>
    </row>
    <row r="112" spans="1:18" x14ac:dyDescent="0.25">
      <c r="A112" s="129">
        <v>9</v>
      </c>
      <c r="B112" s="164">
        <f t="shared" si="35"/>
        <v>45536</v>
      </c>
      <c r="C112" s="184">
        <f t="shared" si="32"/>
        <v>45568</v>
      </c>
      <c r="D112" s="184">
        <f t="shared" si="32"/>
        <v>45589</v>
      </c>
      <c r="E112" s="52" t="s">
        <v>19</v>
      </c>
      <c r="F112" s="129">
        <v>9</v>
      </c>
      <c r="G112" s="166">
        <v>72</v>
      </c>
      <c r="H112" s="167">
        <f t="shared" si="25"/>
        <v>9.9985597205614507</v>
      </c>
      <c r="I112" s="167">
        <f t="shared" si="34"/>
        <v>10.866487145184125</v>
      </c>
      <c r="J112" s="168">
        <f t="shared" si="36"/>
        <v>782.38707445325701</v>
      </c>
      <c r="K112" s="175">
        <f t="shared" si="30"/>
        <v>719.89629988042441</v>
      </c>
      <c r="L112" s="174">
        <f t="shared" si="33"/>
        <v>62.490774572832606</v>
      </c>
      <c r="M112" s="171">
        <f t="shared" si="26"/>
        <v>5.0208507125812103</v>
      </c>
      <c r="N112" s="172">
        <f t="shared" si="27"/>
        <v>67.511625285413814</v>
      </c>
      <c r="O112" s="171">
        <v>0</v>
      </c>
      <c r="P112" s="171">
        <v>0</v>
      </c>
      <c r="Q112" s="171">
        <v>0</v>
      </c>
      <c r="R112" s="172">
        <f t="shared" si="28"/>
        <v>67.511625285413814</v>
      </c>
    </row>
    <row r="113" spans="1:18" x14ac:dyDescent="0.25">
      <c r="A113" s="93">
        <v>10</v>
      </c>
      <c r="B113" s="164">
        <f t="shared" si="35"/>
        <v>45566</v>
      </c>
      <c r="C113" s="184">
        <f t="shared" si="32"/>
        <v>45601</v>
      </c>
      <c r="D113" s="184">
        <f t="shared" si="32"/>
        <v>45621</v>
      </c>
      <c r="E113" s="52" t="s">
        <v>19</v>
      </c>
      <c r="F113" s="129">
        <v>9</v>
      </c>
      <c r="G113" s="166">
        <v>73</v>
      </c>
      <c r="H113" s="167">
        <f t="shared" si="25"/>
        <v>9.9985597205614507</v>
      </c>
      <c r="I113" s="167">
        <f t="shared" si="34"/>
        <v>10.866487145184125</v>
      </c>
      <c r="J113" s="168">
        <f t="shared" si="36"/>
        <v>793.25356159844114</v>
      </c>
      <c r="K113" s="175">
        <f t="shared" si="30"/>
        <v>729.89485960098591</v>
      </c>
      <c r="L113" s="174">
        <f t="shared" si="33"/>
        <v>63.358701997455228</v>
      </c>
      <c r="M113" s="171">
        <f t="shared" si="26"/>
        <v>5.0905847502559487</v>
      </c>
      <c r="N113" s="172">
        <f t="shared" si="27"/>
        <v>68.44928674771117</v>
      </c>
      <c r="O113" s="171">
        <v>0</v>
      </c>
      <c r="P113" s="171">
        <v>0</v>
      </c>
      <c r="Q113" s="171">
        <v>0</v>
      </c>
      <c r="R113" s="172">
        <f t="shared" si="28"/>
        <v>68.44928674771117</v>
      </c>
    </row>
    <row r="114" spans="1:18" x14ac:dyDescent="0.25">
      <c r="A114" s="129">
        <v>11</v>
      </c>
      <c r="B114" s="164">
        <f t="shared" si="35"/>
        <v>45597</v>
      </c>
      <c r="C114" s="184">
        <f t="shared" si="32"/>
        <v>45630</v>
      </c>
      <c r="D114" s="184">
        <f t="shared" si="32"/>
        <v>45650</v>
      </c>
      <c r="E114" s="52" t="s">
        <v>19</v>
      </c>
      <c r="F114" s="129">
        <v>9</v>
      </c>
      <c r="G114" s="166">
        <v>72</v>
      </c>
      <c r="H114" s="167">
        <f t="shared" si="25"/>
        <v>9.9985597205614507</v>
      </c>
      <c r="I114" s="167">
        <f t="shared" si="34"/>
        <v>10.866487145184125</v>
      </c>
      <c r="J114" s="168">
        <f t="shared" si="36"/>
        <v>782.38707445325701</v>
      </c>
      <c r="K114" s="175">
        <f t="shared" si="30"/>
        <v>719.89629988042441</v>
      </c>
      <c r="L114" s="174">
        <f t="shared" si="33"/>
        <v>62.490774572832606</v>
      </c>
      <c r="M114" s="171">
        <f t="shared" si="26"/>
        <v>5.0208507125812103</v>
      </c>
      <c r="N114" s="172">
        <f t="shared" si="27"/>
        <v>67.511625285413814</v>
      </c>
      <c r="O114" s="171">
        <v>0</v>
      </c>
      <c r="P114" s="171">
        <v>0</v>
      </c>
      <c r="Q114" s="171">
        <v>0</v>
      </c>
      <c r="R114" s="172">
        <f t="shared" si="28"/>
        <v>67.511625285413814</v>
      </c>
    </row>
    <row r="115" spans="1:18" s="188" customFormat="1" x14ac:dyDescent="0.25">
      <c r="A115" s="129">
        <v>12</v>
      </c>
      <c r="B115" s="186">
        <f t="shared" si="35"/>
        <v>45627</v>
      </c>
      <c r="C115" s="189">
        <f t="shared" si="32"/>
        <v>45660</v>
      </c>
      <c r="D115" s="189">
        <f t="shared" si="32"/>
        <v>45681</v>
      </c>
      <c r="E115" s="187" t="s">
        <v>19</v>
      </c>
      <c r="F115" s="140">
        <v>9</v>
      </c>
      <c r="G115" s="166">
        <v>65</v>
      </c>
      <c r="H115" s="176">
        <f t="shared" si="25"/>
        <v>9.9985597205614507</v>
      </c>
      <c r="I115" s="176">
        <f t="shared" si="34"/>
        <v>10.866487145184125</v>
      </c>
      <c r="J115" s="177">
        <f t="shared" si="36"/>
        <v>706.32166443696815</v>
      </c>
      <c r="K115" s="178">
        <f t="shared" si="30"/>
        <v>649.90638183649435</v>
      </c>
      <c r="L115" s="179">
        <f t="shared" si="33"/>
        <v>56.415282600473802</v>
      </c>
      <c r="M115" s="171">
        <f t="shared" si="26"/>
        <v>4.532712448858037</v>
      </c>
      <c r="N115" s="172">
        <f t="shared" si="27"/>
        <v>60.947995049331837</v>
      </c>
      <c r="O115" s="171">
        <v>0</v>
      </c>
      <c r="P115" s="171">
        <v>0</v>
      </c>
      <c r="Q115" s="171">
        <v>0</v>
      </c>
      <c r="R115" s="172">
        <f t="shared" si="28"/>
        <v>60.947995049331837</v>
      </c>
    </row>
    <row r="116" spans="1:18" x14ac:dyDescent="0.25">
      <c r="A116" s="93">
        <v>1</v>
      </c>
      <c r="B116" s="164">
        <f t="shared" si="35"/>
        <v>45292</v>
      </c>
      <c r="C116" s="184">
        <f t="shared" si="32"/>
        <v>45327</v>
      </c>
      <c r="D116" s="184">
        <f t="shared" si="32"/>
        <v>45348</v>
      </c>
      <c r="E116" s="165" t="s">
        <v>13</v>
      </c>
      <c r="F116" s="93">
        <v>9</v>
      </c>
      <c r="G116" s="166">
        <v>1452</v>
      </c>
      <c r="H116" s="167">
        <f t="shared" si="25"/>
        <v>9.9985597205614507</v>
      </c>
      <c r="I116" s="167">
        <f t="shared" si="34"/>
        <v>10.866487145184125</v>
      </c>
      <c r="J116" s="168">
        <f t="shared" si="36"/>
        <v>15778.139334807351</v>
      </c>
      <c r="K116" s="169">
        <f t="shared" si="30"/>
        <v>14517.908714255227</v>
      </c>
      <c r="L116" s="170">
        <f>+J116-K116</f>
        <v>1260.2306205521236</v>
      </c>
      <c r="M116" s="171">
        <f t="shared" si="26"/>
        <v>101.25382270372107</v>
      </c>
      <c r="N116" s="172">
        <f t="shared" si="27"/>
        <v>1361.4844432558446</v>
      </c>
      <c r="O116" s="171">
        <v>0</v>
      </c>
      <c r="P116" s="171">
        <v>0</v>
      </c>
      <c r="Q116" s="171">
        <v>0</v>
      </c>
      <c r="R116" s="172">
        <f t="shared" si="28"/>
        <v>1361.4844432558446</v>
      </c>
    </row>
    <row r="117" spans="1:18" x14ac:dyDescent="0.25">
      <c r="A117" s="129">
        <v>2</v>
      </c>
      <c r="B117" s="164">
        <f t="shared" si="35"/>
        <v>45323</v>
      </c>
      <c r="C117" s="184">
        <f t="shared" ref="C117:D139" si="37">+C105</f>
        <v>45356</v>
      </c>
      <c r="D117" s="184">
        <f t="shared" si="37"/>
        <v>45376</v>
      </c>
      <c r="E117" s="173" t="s">
        <v>13</v>
      </c>
      <c r="F117" s="129">
        <v>9</v>
      </c>
      <c r="G117" s="166">
        <v>966</v>
      </c>
      <c r="H117" s="167">
        <f t="shared" si="25"/>
        <v>9.9985597205614507</v>
      </c>
      <c r="I117" s="167">
        <f t="shared" si="34"/>
        <v>10.866487145184125</v>
      </c>
      <c r="J117" s="168">
        <f t="shared" si="36"/>
        <v>10497.026582247865</v>
      </c>
      <c r="K117" s="169">
        <f t="shared" si="30"/>
        <v>9658.6086900623613</v>
      </c>
      <c r="L117" s="170">
        <f>+J117-K117</f>
        <v>838.41789218550366</v>
      </c>
      <c r="M117" s="171">
        <f t="shared" si="26"/>
        <v>67.363080393797901</v>
      </c>
      <c r="N117" s="172">
        <f t="shared" si="27"/>
        <v>905.78097257930153</v>
      </c>
      <c r="O117" s="171">
        <v>0</v>
      </c>
      <c r="P117" s="171">
        <v>0</v>
      </c>
      <c r="Q117" s="171">
        <v>0</v>
      </c>
      <c r="R117" s="172">
        <f t="shared" si="28"/>
        <v>905.78097257930153</v>
      </c>
    </row>
    <row r="118" spans="1:18" x14ac:dyDescent="0.25">
      <c r="A118" s="129">
        <v>3</v>
      </c>
      <c r="B118" s="164">
        <f t="shared" si="35"/>
        <v>45352</v>
      </c>
      <c r="C118" s="184">
        <f t="shared" si="37"/>
        <v>45385</v>
      </c>
      <c r="D118" s="184">
        <f t="shared" si="37"/>
        <v>45406</v>
      </c>
      <c r="E118" s="173" t="s">
        <v>13</v>
      </c>
      <c r="F118" s="129">
        <v>9</v>
      </c>
      <c r="G118" s="166">
        <v>732</v>
      </c>
      <c r="H118" s="167">
        <f t="shared" si="25"/>
        <v>9.9985597205614507</v>
      </c>
      <c r="I118" s="167">
        <f t="shared" si="34"/>
        <v>10.866487145184125</v>
      </c>
      <c r="J118" s="168">
        <f t="shared" si="36"/>
        <v>7954.2685902747799</v>
      </c>
      <c r="K118" s="169">
        <f t="shared" si="30"/>
        <v>7318.9457154509819</v>
      </c>
      <c r="L118" s="170">
        <f>+J118-K118</f>
        <v>635.32287482379797</v>
      </c>
      <c r="M118" s="171">
        <f t="shared" si="26"/>
        <v>51.045315577908973</v>
      </c>
      <c r="N118" s="172">
        <f t="shared" si="27"/>
        <v>686.3681904017069</v>
      </c>
      <c r="O118" s="171">
        <v>0</v>
      </c>
      <c r="P118" s="171">
        <v>0</v>
      </c>
      <c r="Q118" s="171">
        <v>0</v>
      </c>
      <c r="R118" s="172">
        <f t="shared" si="28"/>
        <v>686.3681904017069</v>
      </c>
    </row>
    <row r="119" spans="1:18" x14ac:dyDescent="0.25">
      <c r="A119" s="93">
        <v>4</v>
      </c>
      <c r="B119" s="164">
        <f t="shared" si="35"/>
        <v>45383</v>
      </c>
      <c r="C119" s="184">
        <f t="shared" si="37"/>
        <v>45415</v>
      </c>
      <c r="D119" s="184">
        <f t="shared" si="37"/>
        <v>45436</v>
      </c>
      <c r="E119" s="52" t="s">
        <v>13</v>
      </c>
      <c r="F119" s="129">
        <v>9</v>
      </c>
      <c r="G119" s="166">
        <v>547</v>
      </c>
      <c r="H119" s="167">
        <f t="shared" si="25"/>
        <v>9.9985597205614507</v>
      </c>
      <c r="I119" s="167">
        <f t="shared" si="34"/>
        <v>10.866487145184125</v>
      </c>
      <c r="J119" s="168">
        <f t="shared" si="36"/>
        <v>5943.9684684157164</v>
      </c>
      <c r="K119" s="169">
        <f t="shared" si="30"/>
        <v>5469.2121671471132</v>
      </c>
      <c r="L119" s="170">
        <f t="shared" ref="L119:L127" si="38">+J119-K119</f>
        <v>474.75630126860324</v>
      </c>
      <c r="M119" s="171">
        <f t="shared" si="26"/>
        <v>38.144518608082251</v>
      </c>
      <c r="N119" s="172">
        <f t="shared" si="27"/>
        <v>512.90081987668555</v>
      </c>
      <c r="O119" s="171">
        <v>0</v>
      </c>
      <c r="P119" s="171">
        <v>0</v>
      </c>
      <c r="Q119" s="171">
        <v>0</v>
      </c>
      <c r="R119" s="172">
        <f t="shared" si="28"/>
        <v>512.90081987668555</v>
      </c>
    </row>
    <row r="120" spans="1:18" x14ac:dyDescent="0.25">
      <c r="A120" s="129">
        <v>5</v>
      </c>
      <c r="B120" s="164">
        <f t="shared" si="35"/>
        <v>45413</v>
      </c>
      <c r="C120" s="184">
        <f t="shared" si="37"/>
        <v>45448</v>
      </c>
      <c r="D120" s="184">
        <f t="shared" si="37"/>
        <v>45467</v>
      </c>
      <c r="E120" s="52" t="s">
        <v>13</v>
      </c>
      <c r="F120" s="129">
        <v>9</v>
      </c>
      <c r="G120" s="166">
        <v>747</v>
      </c>
      <c r="H120" s="167">
        <f t="shared" si="25"/>
        <v>9.9985597205614507</v>
      </c>
      <c r="I120" s="167">
        <f t="shared" si="34"/>
        <v>10.866487145184125</v>
      </c>
      <c r="J120" s="168">
        <f t="shared" si="36"/>
        <v>8117.265897452542</v>
      </c>
      <c r="K120" s="169">
        <f t="shared" si="30"/>
        <v>7468.9241112594036</v>
      </c>
      <c r="L120" s="170">
        <f t="shared" si="38"/>
        <v>648.34178619313843</v>
      </c>
      <c r="M120" s="171">
        <f t="shared" si="26"/>
        <v>52.091326143030059</v>
      </c>
      <c r="N120" s="172">
        <f t="shared" si="27"/>
        <v>700.43311233616851</v>
      </c>
      <c r="O120" s="171">
        <v>0</v>
      </c>
      <c r="P120" s="171">
        <v>0</v>
      </c>
      <c r="Q120" s="171">
        <v>0</v>
      </c>
      <c r="R120" s="172">
        <f t="shared" si="28"/>
        <v>700.43311233616851</v>
      </c>
    </row>
    <row r="121" spans="1:18" x14ac:dyDescent="0.25">
      <c r="A121" s="129">
        <v>6</v>
      </c>
      <c r="B121" s="164">
        <f t="shared" si="35"/>
        <v>45444</v>
      </c>
      <c r="C121" s="184">
        <f t="shared" si="37"/>
        <v>45476</v>
      </c>
      <c r="D121" s="184">
        <f t="shared" si="37"/>
        <v>45497</v>
      </c>
      <c r="E121" s="52" t="s">
        <v>13</v>
      </c>
      <c r="F121" s="129">
        <v>9</v>
      </c>
      <c r="G121" s="166">
        <v>917</v>
      </c>
      <c r="H121" s="167">
        <f t="shared" si="25"/>
        <v>9.9985597205614507</v>
      </c>
      <c r="I121" s="167">
        <f t="shared" si="34"/>
        <v>10.866487145184125</v>
      </c>
      <c r="J121" s="168">
        <f t="shared" si="36"/>
        <v>9964.5687121338433</v>
      </c>
      <c r="K121" s="169">
        <f t="shared" si="30"/>
        <v>9168.6792637548497</v>
      </c>
      <c r="L121" s="174">
        <f t="shared" si="38"/>
        <v>795.88944837899362</v>
      </c>
      <c r="M121" s="171">
        <f t="shared" si="26"/>
        <v>63.946112547735694</v>
      </c>
      <c r="N121" s="172">
        <f t="shared" si="27"/>
        <v>859.83556092672927</v>
      </c>
      <c r="O121" s="171">
        <v>0</v>
      </c>
      <c r="P121" s="171">
        <v>0</v>
      </c>
      <c r="Q121" s="171">
        <v>0</v>
      </c>
      <c r="R121" s="172">
        <f t="shared" si="28"/>
        <v>859.83556092672927</v>
      </c>
    </row>
    <row r="122" spans="1:18" x14ac:dyDescent="0.25">
      <c r="A122" s="93">
        <v>7</v>
      </c>
      <c r="B122" s="164">
        <f t="shared" si="35"/>
        <v>45474</v>
      </c>
      <c r="C122" s="184">
        <f t="shared" si="37"/>
        <v>45509</v>
      </c>
      <c r="D122" s="184">
        <f t="shared" si="37"/>
        <v>45530</v>
      </c>
      <c r="E122" s="52" t="s">
        <v>13</v>
      </c>
      <c r="F122" s="129">
        <v>9</v>
      </c>
      <c r="G122" s="166">
        <v>950</v>
      </c>
      <c r="H122" s="167">
        <f t="shared" si="25"/>
        <v>9.9985597205614507</v>
      </c>
      <c r="I122" s="167">
        <f t="shared" si="34"/>
        <v>10.866487145184125</v>
      </c>
      <c r="J122" s="168">
        <f t="shared" si="36"/>
        <v>10323.162787924919</v>
      </c>
      <c r="K122" s="175">
        <f t="shared" si="30"/>
        <v>9498.6317345333773</v>
      </c>
      <c r="L122" s="174">
        <f t="shared" si="38"/>
        <v>824.53105339154172</v>
      </c>
      <c r="M122" s="171">
        <f t="shared" si="26"/>
        <v>66.247335791002087</v>
      </c>
      <c r="N122" s="172">
        <f t="shared" si="27"/>
        <v>890.77838918254383</v>
      </c>
      <c r="O122" s="171">
        <v>0</v>
      </c>
      <c r="P122" s="171">
        <v>0</v>
      </c>
      <c r="Q122" s="171">
        <v>0</v>
      </c>
      <c r="R122" s="172">
        <f t="shared" si="28"/>
        <v>890.77838918254383</v>
      </c>
    </row>
    <row r="123" spans="1:18" x14ac:dyDescent="0.25">
      <c r="A123" s="129">
        <v>8</v>
      </c>
      <c r="B123" s="164">
        <f t="shared" si="35"/>
        <v>45505</v>
      </c>
      <c r="C123" s="184">
        <f t="shared" si="37"/>
        <v>45539</v>
      </c>
      <c r="D123" s="184">
        <f t="shared" si="37"/>
        <v>45559</v>
      </c>
      <c r="E123" s="52" t="s">
        <v>13</v>
      </c>
      <c r="F123" s="129">
        <v>9</v>
      </c>
      <c r="G123" s="166">
        <v>940</v>
      </c>
      <c r="H123" s="167">
        <f t="shared" si="25"/>
        <v>9.9985597205614507</v>
      </c>
      <c r="I123" s="167">
        <f t="shared" si="34"/>
        <v>10.866487145184125</v>
      </c>
      <c r="J123" s="168">
        <f t="shared" si="36"/>
        <v>10214.497916473078</v>
      </c>
      <c r="K123" s="175">
        <f t="shared" si="30"/>
        <v>9398.6461373277634</v>
      </c>
      <c r="L123" s="174">
        <f t="shared" si="38"/>
        <v>815.85177914531414</v>
      </c>
      <c r="M123" s="171">
        <f t="shared" si="26"/>
        <v>65.549995414254681</v>
      </c>
      <c r="N123" s="172">
        <f t="shared" si="27"/>
        <v>881.40177455956882</v>
      </c>
      <c r="O123" s="171">
        <v>0</v>
      </c>
      <c r="P123" s="171">
        <v>0</v>
      </c>
      <c r="Q123" s="171">
        <v>0</v>
      </c>
      <c r="R123" s="172">
        <f t="shared" si="28"/>
        <v>881.40177455956882</v>
      </c>
    </row>
    <row r="124" spans="1:18" x14ac:dyDescent="0.25">
      <c r="A124" s="129">
        <v>9</v>
      </c>
      <c r="B124" s="164">
        <f t="shared" si="35"/>
        <v>45536</v>
      </c>
      <c r="C124" s="184">
        <f t="shared" si="37"/>
        <v>45568</v>
      </c>
      <c r="D124" s="184">
        <f t="shared" si="37"/>
        <v>45589</v>
      </c>
      <c r="E124" s="52" t="s">
        <v>13</v>
      </c>
      <c r="F124" s="129">
        <v>9</v>
      </c>
      <c r="G124" s="166">
        <v>816</v>
      </c>
      <c r="H124" s="167">
        <f t="shared" si="25"/>
        <v>9.9985597205614507</v>
      </c>
      <c r="I124" s="167">
        <f t="shared" si="34"/>
        <v>10.866487145184125</v>
      </c>
      <c r="J124" s="168">
        <f t="shared" si="36"/>
        <v>8867.0535104702467</v>
      </c>
      <c r="K124" s="175">
        <f t="shared" si="30"/>
        <v>8158.824731978144</v>
      </c>
      <c r="L124" s="174">
        <f t="shared" si="38"/>
        <v>708.22877849210272</v>
      </c>
      <c r="M124" s="171">
        <f t="shared" si="26"/>
        <v>56.902974742587048</v>
      </c>
      <c r="N124" s="172">
        <f t="shared" si="27"/>
        <v>765.13175323468977</v>
      </c>
      <c r="O124" s="171">
        <v>0</v>
      </c>
      <c r="P124" s="171">
        <v>0</v>
      </c>
      <c r="Q124" s="171">
        <v>0</v>
      </c>
      <c r="R124" s="172">
        <f t="shared" si="28"/>
        <v>765.13175323468977</v>
      </c>
    </row>
    <row r="125" spans="1:18" x14ac:dyDescent="0.25">
      <c r="A125" s="93">
        <v>10</v>
      </c>
      <c r="B125" s="164">
        <f t="shared" si="35"/>
        <v>45566</v>
      </c>
      <c r="C125" s="184">
        <f t="shared" si="37"/>
        <v>45601</v>
      </c>
      <c r="D125" s="184">
        <f t="shared" si="37"/>
        <v>45621</v>
      </c>
      <c r="E125" s="52" t="s">
        <v>13</v>
      </c>
      <c r="F125" s="129">
        <v>9</v>
      </c>
      <c r="G125" s="166">
        <v>683</v>
      </c>
      <c r="H125" s="167">
        <f t="shared" si="25"/>
        <v>9.9985597205614507</v>
      </c>
      <c r="I125" s="167">
        <f t="shared" si="34"/>
        <v>10.866487145184125</v>
      </c>
      <c r="J125" s="168">
        <f t="shared" si="36"/>
        <v>7421.8107201607572</v>
      </c>
      <c r="K125" s="175">
        <f t="shared" si="30"/>
        <v>6829.0162891434711</v>
      </c>
      <c r="L125" s="174">
        <f t="shared" si="38"/>
        <v>592.79443101728612</v>
      </c>
      <c r="M125" s="171">
        <f t="shared" si="26"/>
        <v>47.628347731846759</v>
      </c>
      <c r="N125" s="172">
        <f t="shared" si="27"/>
        <v>640.42277874913293</v>
      </c>
      <c r="O125" s="171">
        <v>0</v>
      </c>
      <c r="P125" s="171">
        <v>0</v>
      </c>
      <c r="Q125" s="171">
        <v>0</v>
      </c>
      <c r="R125" s="172">
        <f t="shared" si="28"/>
        <v>640.42277874913293</v>
      </c>
    </row>
    <row r="126" spans="1:18" x14ac:dyDescent="0.25">
      <c r="A126" s="129">
        <v>11</v>
      </c>
      <c r="B126" s="164">
        <f t="shared" si="35"/>
        <v>45597</v>
      </c>
      <c r="C126" s="184">
        <f t="shared" si="37"/>
        <v>45630</v>
      </c>
      <c r="D126" s="184">
        <f t="shared" si="37"/>
        <v>45650</v>
      </c>
      <c r="E126" s="52" t="s">
        <v>13</v>
      </c>
      <c r="F126" s="129">
        <v>9</v>
      </c>
      <c r="G126" s="166">
        <v>525</v>
      </c>
      <c r="H126" s="167">
        <f t="shared" si="25"/>
        <v>9.9985597205614507</v>
      </c>
      <c r="I126" s="167">
        <f t="shared" si="34"/>
        <v>10.866487145184125</v>
      </c>
      <c r="J126" s="168">
        <f t="shared" si="36"/>
        <v>5704.9057512216659</v>
      </c>
      <c r="K126" s="175">
        <f t="shared" si="30"/>
        <v>5249.2438532947617</v>
      </c>
      <c r="L126" s="174">
        <f t="shared" si="38"/>
        <v>455.6618979269042</v>
      </c>
      <c r="M126" s="171">
        <f t="shared" si="26"/>
        <v>36.610369779237992</v>
      </c>
      <c r="N126" s="172">
        <f t="shared" si="27"/>
        <v>492.2722677061422</v>
      </c>
      <c r="O126" s="171">
        <v>0</v>
      </c>
      <c r="P126" s="171">
        <v>0</v>
      </c>
      <c r="Q126" s="171">
        <v>0</v>
      </c>
      <c r="R126" s="172">
        <f t="shared" si="28"/>
        <v>492.2722677061422</v>
      </c>
    </row>
    <row r="127" spans="1:18" s="188" customFormat="1" x14ac:dyDescent="0.25">
      <c r="A127" s="129">
        <v>12</v>
      </c>
      <c r="B127" s="186">
        <f t="shared" si="35"/>
        <v>45627</v>
      </c>
      <c r="C127" s="189">
        <f t="shared" si="37"/>
        <v>45660</v>
      </c>
      <c r="D127" s="189">
        <f t="shared" si="37"/>
        <v>45681</v>
      </c>
      <c r="E127" s="187" t="s">
        <v>13</v>
      </c>
      <c r="F127" s="140">
        <v>9</v>
      </c>
      <c r="G127" s="166">
        <v>863</v>
      </c>
      <c r="H127" s="176">
        <f t="shared" si="25"/>
        <v>9.9985597205614507</v>
      </c>
      <c r="I127" s="176">
        <f t="shared" si="34"/>
        <v>10.866487145184125</v>
      </c>
      <c r="J127" s="177">
        <f t="shared" si="36"/>
        <v>9377.7784062939008</v>
      </c>
      <c r="K127" s="178">
        <f t="shared" si="30"/>
        <v>8628.7570388445311</v>
      </c>
      <c r="L127" s="179">
        <f t="shared" si="38"/>
        <v>749.02136744936979</v>
      </c>
      <c r="M127" s="171">
        <f t="shared" si="26"/>
        <v>60.180474513299785</v>
      </c>
      <c r="N127" s="172">
        <f t="shared" si="27"/>
        <v>809.20184196266962</v>
      </c>
      <c r="O127" s="171">
        <v>0</v>
      </c>
      <c r="P127" s="171">
        <v>0</v>
      </c>
      <c r="Q127" s="171">
        <v>0</v>
      </c>
      <c r="R127" s="172">
        <f t="shared" si="28"/>
        <v>809.20184196266962</v>
      </c>
    </row>
    <row r="128" spans="1:18" x14ac:dyDescent="0.25">
      <c r="A128" s="93">
        <v>1</v>
      </c>
      <c r="B128" s="164">
        <f t="shared" si="35"/>
        <v>45292</v>
      </c>
      <c r="C128" s="184">
        <f t="shared" si="37"/>
        <v>45327</v>
      </c>
      <c r="D128" s="184">
        <f t="shared" si="37"/>
        <v>45348</v>
      </c>
      <c r="E128" s="165" t="s">
        <v>15</v>
      </c>
      <c r="F128" s="93">
        <v>9</v>
      </c>
      <c r="G128" s="166">
        <v>8</v>
      </c>
      <c r="H128" s="167">
        <f t="shared" si="25"/>
        <v>9.9985597205614507</v>
      </c>
      <c r="I128" s="167">
        <f t="shared" ref="I128:I147" si="39">$J$3</f>
        <v>10.866487145184125</v>
      </c>
      <c r="J128" s="168">
        <f t="shared" si="36"/>
        <v>86.931897161473003</v>
      </c>
      <c r="K128" s="169">
        <f t="shared" si="30"/>
        <v>79.988477764491606</v>
      </c>
      <c r="L128" s="170">
        <f>+J128-K128</f>
        <v>6.9434193969813975</v>
      </c>
      <c r="M128" s="171">
        <f t="shared" si="26"/>
        <v>0.55787230139791222</v>
      </c>
      <c r="N128" s="172">
        <f t="shared" si="27"/>
        <v>7.5012916983793101</v>
      </c>
      <c r="O128" s="171">
        <v>0</v>
      </c>
      <c r="P128" s="171">
        <v>0</v>
      </c>
      <c r="Q128" s="171">
        <v>0</v>
      </c>
      <c r="R128" s="172">
        <f t="shared" si="28"/>
        <v>7.5012916983793101</v>
      </c>
    </row>
    <row r="129" spans="1:18" x14ac:dyDescent="0.25">
      <c r="A129" s="129">
        <v>2</v>
      </c>
      <c r="B129" s="164">
        <f t="shared" si="35"/>
        <v>45323</v>
      </c>
      <c r="C129" s="184">
        <f t="shared" si="37"/>
        <v>45356</v>
      </c>
      <c r="D129" s="184">
        <f t="shared" si="37"/>
        <v>45376</v>
      </c>
      <c r="E129" s="173" t="s">
        <v>15</v>
      </c>
      <c r="F129" s="129">
        <v>9</v>
      </c>
      <c r="G129" s="166">
        <v>5</v>
      </c>
      <c r="H129" s="167">
        <f t="shared" si="25"/>
        <v>9.9985597205614507</v>
      </c>
      <c r="I129" s="167">
        <f t="shared" si="39"/>
        <v>10.866487145184125</v>
      </c>
      <c r="J129" s="168">
        <f t="shared" si="36"/>
        <v>54.332435725920625</v>
      </c>
      <c r="K129" s="169">
        <f t="shared" si="30"/>
        <v>49.992798602807255</v>
      </c>
      <c r="L129" s="170">
        <f>+J129-K129</f>
        <v>4.3396371231133699</v>
      </c>
      <c r="M129" s="171">
        <f t="shared" si="26"/>
        <v>0.34867018837369518</v>
      </c>
      <c r="N129" s="172">
        <f t="shared" si="27"/>
        <v>4.6883073114870655</v>
      </c>
      <c r="O129" s="171">
        <v>0</v>
      </c>
      <c r="P129" s="171">
        <v>0</v>
      </c>
      <c r="Q129" s="171">
        <v>0</v>
      </c>
      <c r="R129" s="172">
        <f t="shared" si="28"/>
        <v>4.6883073114870655</v>
      </c>
    </row>
    <row r="130" spans="1:18" x14ac:dyDescent="0.25">
      <c r="A130" s="129">
        <v>3</v>
      </c>
      <c r="B130" s="164">
        <f t="shared" si="35"/>
        <v>45352</v>
      </c>
      <c r="C130" s="184">
        <f t="shared" si="37"/>
        <v>45385</v>
      </c>
      <c r="D130" s="184">
        <f t="shared" si="37"/>
        <v>45406</v>
      </c>
      <c r="E130" s="173" t="s">
        <v>15</v>
      </c>
      <c r="F130" s="129">
        <v>9</v>
      </c>
      <c r="G130" s="166">
        <v>5</v>
      </c>
      <c r="H130" s="167">
        <f t="shared" si="25"/>
        <v>9.9985597205614507</v>
      </c>
      <c r="I130" s="167">
        <f t="shared" si="39"/>
        <v>10.866487145184125</v>
      </c>
      <c r="J130" s="168">
        <f t="shared" si="36"/>
        <v>54.332435725920625</v>
      </c>
      <c r="K130" s="169">
        <f t="shared" si="30"/>
        <v>49.992798602807255</v>
      </c>
      <c r="L130" s="170">
        <f>+J130-K130</f>
        <v>4.3396371231133699</v>
      </c>
      <c r="M130" s="171">
        <f t="shared" si="26"/>
        <v>0.34867018837369518</v>
      </c>
      <c r="N130" s="172">
        <f t="shared" si="27"/>
        <v>4.6883073114870655</v>
      </c>
      <c r="O130" s="171">
        <v>0</v>
      </c>
      <c r="P130" s="171">
        <v>0</v>
      </c>
      <c r="Q130" s="171">
        <v>0</v>
      </c>
      <c r="R130" s="172">
        <f t="shared" si="28"/>
        <v>4.6883073114870655</v>
      </c>
    </row>
    <row r="131" spans="1:18" x14ac:dyDescent="0.25">
      <c r="A131" s="93">
        <v>4</v>
      </c>
      <c r="B131" s="164">
        <f t="shared" si="35"/>
        <v>45383</v>
      </c>
      <c r="C131" s="184">
        <f t="shared" si="37"/>
        <v>45415</v>
      </c>
      <c r="D131" s="184">
        <f t="shared" si="37"/>
        <v>45436</v>
      </c>
      <c r="E131" s="173" t="s">
        <v>15</v>
      </c>
      <c r="F131" s="129">
        <v>9</v>
      </c>
      <c r="G131" s="166">
        <v>6</v>
      </c>
      <c r="H131" s="167">
        <f t="shared" si="25"/>
        <v>9.9985597205614507</v>
      </c>
      <c r="I131" s="167">
        <f t="shared" si="39"/>
        <v>10.866487145184125</v>
      </c>
      <c r="J131" s="168">
        <f t="shared" si="36"/>
        <v>65.198922871104756</v>
      </c>
      <c r="K131" s="169">
        <f t="shared" si="30"/>
        <v>59.991358323368701</v>
      </c>
      <c r="L131" s="170">
        <f t="shared" ref="L131:L141" si="40">+J131-K131</f>
        <v>5.2075645477360553</v>
      </c>
      <c r="M131" s="171">
        <f t="shared" si="26"/>
        <v>0.41840422604843419</v>
      </c>
      <c r="N131" s="172">
        <f t="shared" si="27"/>
        <v>5.6259687737844892</v>
      </c>
      <c r="O131" s="171">
        <v>0</v>
      </c>
      <c r="P131" s="171">
        <v>0</v>
      </c>
      <c r="Q131" s="171">
        <v>0</v>
      </c>
      <c r="R131" s="172">
        <f t="shared" si="28"/>
        <v>5.6259687737844892</v>
      </c>
    </row>
    <row r="132" spans="1:18" x14ac:dyDescent="0.25">
      <c r="A132" s="129">
        <v>5</v>
      </c>
      <c r="B132" s="164">
        <f t="shared" si="35"/>
        <v>45413</v>
      </c>
      <c r="C132" s="184">
        <f t="shared" si="37"/>
        <v>45448</v>
      </c>
      <c r="D132" s="184">
        <f t="shared" si="37"/>
        <v>45467</v>
      </c>
      <c r="E132" s="52" t="s">
        <v>15</v>
      </c>
      <c r="F132" s="129">
        <v>9</v>
      </c>
      <c r="G132" s="166">
        <v>9</v>
      </c>
      <c r="H132" s="167">
        <f t="shared" si="25"/>
        <v>9.9985597205614507</v>
      </c>
      <c r="I132" s="167">
        <f t="shared" si="39"/>
        <v>10.866487145184125</v>
      </c>
      <c r="J132" s="168">
        <f t="shared" si="36"/>
        <v>97.798384306657127</v>
      </c>
      <c r="K132" s="169">
        <f t="shared" si="30"/>
        <v>89.987037485053051</v>
      </c>
      <c r="L132" s="170">
        <f t="shared" si="40"/>
        <v>7.8113468216040758</v>
      </c>
      <c r="M132" s="171">
        <f t="shared" si="26"/>
        <v>0.62760633907265129</v>
      </c>
      <c r="N132" s="172">
        <f t="shared" si="27"/>
        <v>8.4389531606767267</v>
      </c>
      <c r="O132" s="171">
        <v>0</v>
      </c>
      <c r="P132" s="171">
        <v>0</v>
      </c>
      <c r="Q132" s="171">
        <v>0</v>
      </c>
      <c r="R132" s="172">
        <f t="shared" si="28"/>
        <v>8.4389531606767267</v>
      </c>
    </row>
    <row r="133" spans="1:18" x14ac:dyDescent="0.25">
      <c r="A133" s="129">
        <v>6</v>
      </c>
      <c r="B133" s="164">
        <f t="shared" si="35"/>
        <v>45444</v>
      </c>
      <c r="C133" s="184">
        <f t="shared" si="37"/>
        <v>45476</v>
      </c>
      <c r="D133" s="184">
        <f t="shared" si="37"/>
        <v>45497</v>
      </c>
      <c r="E133" s="52" t="s">
        <v>15</v>
      </c>
      <c r="F133" s="129">
        <v>9</v>
      </c>
      <c r="G133" s="166">
        <v>14</v>
      </c>
      <c r="H133" s="167">
        <f t="shared" si="25"/>
        <v>9.9985597205614507</v>
      </c>
      <c r="I133" s="167">
        <f t="shared" si="39"/>
        <v>10.866487145184125</v>
      </c>
      <c r="J133" s="168">
        <f t="shared" si="36"/>
        <v>152.13082003257776</v>
      </c>
      <c r="K133" s="169">
        <f t="shared" si="30"/>
        <v>139.97983608786032</v>
      </c>
      <c r="L133" s="174">
        <f t="shared" si="40"/>
        <v>12.150983944717439</v>
      </c>
      <c r="M133" s="171">
        <f t="shared" si="26"/>
        <v>0.97627652744634641</v>
      </c>
      <c r="N133" s="172">
        <f t="shared" si="27"/>
        <v>13.127260472163785</v>
      </c>
      <c r="O133" s="171">
        <v>0</v>
      </c>
      <c r="P133" s="171">
        <v>0</v>
      </c>
      <c r="Q133" s="171">
        <v>0</v>
      </c>
      <c r="R133" s="172">
        <f t="shared" si="28"/>
        <v>13.127260472163785</v>
      </c>
    </row>
    <row r="134" spans="1:18" x14ac:dyDescent="0.25">
      <c r="A134" s="93">
        <v>7</v>
      </c>
      <c r="B134" s="164">
        <f t="shared" si="35"/>
        <v>45474</v>
      </c>
      <c r="C134" s="184">
        <f t="shared" si="37"/>
        <v>45509</v>
      </c>
      <c r="D134" s="184">
        <f t="shared" si="37"/>
        <v>45530</v>
      </c>
      <c r="E134" s="52" t="s">
        <v>15</v>
      </c>
      <c r="F134" s="129">
        <v>9</v>
      </c>
      <c r="G134" s="166">
        <v>17</v>
      </c>
      <c r="H134" s="167">
        <f t="shared" si="25"/>
        <v>9.9985597205614507</v>
      </c>
      <c r="I134" s="167">
        <f t="shared" si="39"/>
        <v>10.866487145184125</v>
      </c>
      <c r="J134" s="168">
        <f t="shared" si="36"/>
        <v>184.73028146813013</v>
      </c>
      <c r="K134" s="175">
        <f t="shared" ref="K134:K197" si="41">+$G134*H134</f>
        <v>169.97551524954466</v>
      </c>
      <c r="L134" s="174">
        <f t="shared" si="40"/>
        <v>14.754766218585473</v>
      </c>
      <c r="M134" s="171">
        <f t="shared" si="26"/>
        <v>1.1854786404705635</v>
      </c>
      <c r="N134" s="172">
        <f t="shared" si="27"/>
        <v>15.940244859056037</v>
      </c>
      <c r="O134" s="171">
        <v>0</v>
      </c>
      <c r="P134" s="171">
        <v>0</v>
      </c>
      <c r="Q134" s="171">
        <v>0</v>
      </c>
      <c r="R134" s="172">
        <f t="shared" si="28"/>
        <v>15.940244859056037</v>
      </c>
    </row>
    <row r="135" spans="1:18" x14ac:dyDescent="0.25">
      <c r="A135" s="129">
        <v>8</v>
      </c>
      <c r="B135" s="164">
        <f t="shared" si="35"/>
        <v>45505</v>
      </c>
      <c r="C135" s="184">
        <f t="shared" si="37"/>
        <v>45539</v>
      </c>
      <c r="D135" s="184">
        <f t="shared" si="37"/>
        <v>45559</v>
      </c>
      <c r="E135" s="52" t="s">
        <v>15</v>
      </c>
      <c r="F135" s="129">
        <v>9</v>
      </c>
      <c r="G135" s="166">
        <v>19</v>
      </c>
      <c r="H135" s="167">
        <f t="shared" si="25"/>
        <v>9.9985597205614507</v>
      </c>
      <c r="I135" s="167">
        <f t="shared" si="39"/>
        <v>10.866487145184125</v>
      </c>
      <c r="J135" s="168">
        <f t="shared" si="36"/>
        <v>206.46325575849838</v>
      </c>
      <c r="K135" s="175">
        <f t="shared" si="41"/>
        <v>189.97263469066758</v>
      </c>
      <c r="L135" s="174">
        <f t="shared" si="40"/>
        <v>16.490621067830801</v>
      </c>
      <c r="M135" s="171">
        <f t="shared" si="26"/>
        <v>1.3249467158200416</v>
      </c>
      <c r="N135" s="172">
        <f t="shared" si="27"/>
        <v>17.815567783650842</v>
      </c>
      <c r="O135" s="171">
        <v>0</v>
      </c>
      <c r="P135" s="171">
        <v>0</v>
      </c>
      <c r="Q135" s="171">
        <v>0</v>
      </c>
      <c r="R135" s="172">
        <f t="shared" si="28"/>
        <v>17.815567783650842</v>
      </c>
    </row>
    <row r="136" spans="1:18" x14ac:dyDescent="0.25">
      <c r="A136" s="129">
        <v>9</v>
      </c>
      <c r="B136" s="164">
        <f t="shared" si="35"/>
        <v>45536</v>
      </c>
      <c r="C136" s="184">
        <f t="shared" si="37"/>
        <v>45568</v>
      </c>
      <c r="D136" s="184">
        <f t="shared" si="37"/>
        <v>45589</v>
      </c>
      <c r="E136" s="52" t="s">
        <v>15</v>
      </c>
      <c r="F136" s="129">
        <v>9</v>
      </c>
      <c r="G136" s="166">
        <v>11</v>
      </c>
      <c r="H136" s="167">
        <f t="shared" si="25"/>
        <v>9.9985597205614507</v>
      </c>
      <c r="I136" s="167">
        <f t="shared" si="39"/>
        <v>10.866487145184125</v>
      </c>
      <c r="J136" s="168">
        <f t="shared" si="36"/>
        <v>119.53135859702537</v>
      </c>
      <c r="K136" s="175">
        <f t="shared" si="41"/>
        <v>109.98415692617596</v>
      </c>
      <c r="L136" s="174">
        <f t="shared" si="40"/>
        <v>9.5472016708494181</v>
      </c>
      <c r="M136" s="171">
        <f t="shared" si="26"/>
        <v>0.76707441442212931</v>
      </c>
      <c r="N136" s="172">
        <f t="shared" si="27"/>
        <v>10.314276085271548</v>
      </c>
      <c r="O136" s="171">
        <v>0</v>
      </c>
      <c r="P136" s="171">
        <v>0</v>
      </c>
      <c r="Q136" s="171">
        <v>0</v>
      </c>
      <c r="R136" s="172">
        <f t="shared" si="28"/>
        <v>10.314276085271548</v>
      </c>
    </row>
    <row r="137" spans="1:18" x14ac:dyDescent="0.25">
      <c r="A137" s="93">
        <v>10</v>
      </c>
      <c r="B137" s="164">
        <f t="shared" si="35"/>
        <v>45566</v>
      </c>
      <c r="C137" s="184">
        <f t="shared" si="37"/>
        <v>45601</v>
      </c>
      <c r="D137" s="184">
        <f t="shared" si="37"/>
        <v>45621</v>
      </c>
      <c r="E137" s="52" t="s">
        <v>15</v>
      </c>
      <c r="F137" s="129">
        <v>9</v>
      </c>
      <c r="G137" s="166">
        <v>6</v>
      </c>
      <c r="H137" s="167">
        <f t="shared" si="25"/>
        <v>9.9985597205614507</v>
      </c>
      <c r="I137" s="167">
        <f t="shared" si="39"/>
        <v>10.866487145184125</v>
      </c>
      <c r="J137" s="168">
        <f t="shared" si="36"/>
        <v>65.198922871104756</v>
      </c>
      <c r="K137" s="175">
        <f t="shared" si="41"/>
        <v>59.991358323368701</v>
      </c>
      <c r="L137" s="174">
        <f t="shared" si="40"/>
        <v>5.2075645477360553</v>
      </c>
      <c r="M137" s="171">
        <f t="shared" si="26"/>
        <v>0.41840422604843419</v>
      </c>
      <c r="N137" s="172">
        <f t="shared" si="27"/>
        <v>5.6259687737844892</v>
      </c>
      <c r="O137" s="171">
        <v>0</v>
      </c>
      <c r="P137" s="171">
        <v>0</v>
      </c>
      <c r="Q137" s="171">
        <v>0</v>
      </c>
      <c r="R137" s="172">
        <f t="shared" si="28"/>
        <v>5.6259687737844892</v>
      </c>
    </row>
    <row r="138" spans="1:18" x14ac:dyDescent="0.25">
      <c r="A138" s="129">
        <v>11</v>
      </c>
      <c r="B138" s="164">
        <f t="shared" si="35"/>
        <v>45597</v>
      </c>
      <c r="C138" s="184">
        <f t="shared" si="37"/>
        <v>45630</v>
      </c>
      <c r="D138" s="184">
        <f t="shared" si="37"/>
        <v>45650</v>
      </c>
      <c r="E138" s="52" t="s">
        <v>15</v>
      </c>
      <c r="F138" s="129">
        <v>9</v>
      </c>
      <c r="G138" s="166">
        <v>6</v>
      </c>
      <c r="H138" s="167">
        <f t="shared" si="25"/>
        <v>9.9985597205614507</v>
      </c>
      <c r="I138" s="167">
        <f t="shared" si="39"/>
        <v>10.866487145184125</v>
      </c>
      <c r="J138" s="168">
        <f t="shared" si="36"/>
        <v>65.198922871104756</v>
      </c>
      <c r="K138" s="175">
        <f t="shared" si="41"/>
        <v>59.991358323368701</v>
      </c>
      <c r="L138" s="174">
        <f t="shared" si="40"/>
        <v>5.2075645477360553</v>
      </c>
      <c r="M138" s="171">
        <f t="shared" si="26"/>
        <v>0.41840422604843419</v>
      </c>
      <c r="N138" s="172">
        <f t="shared" si="27"/>
        <v>5.6259687737844892</v>
      </c>
      <c r="O138" s="171">
        <v>0</v>
      </c>
      <c r="P138" s="171">
        <v>0</v>
      </c>
      <c r="Q138" s="171">
        <v>0</v>
      </c>
      <c r="R138" s="172">
        <f t="shared" si="28"/>
        <v>5.6259687737844892</v>
      </c>
    </row>
    <row r="139" spans="1:18" s="188" customFormat="1" x14ac:dyDescent="0.25">
      <c r="A139" s="129">
        <v>12</v>
      </c>
      <c r="B139" s="186">
        <f t="shared" si="35"/>
        <v>45627</v>
      </c>
      <c r="C139" s="184">
        <f t="shared" si="37"/>
        <v>45660</v>
      </c>
      <c r="D139" s="184">
        <f t="shared" si="37"/>
        <v>45681</v>
      </c>
      <c r="E139" s="187" t="s">
        <v>15</v>
      </c>
      <c r="F139" s="140">
        <v>9</v>
      </c>
      <c r="G139" s="166">
        <v>6</v>
      </c>
      <c r="H139" s="176">
        <f t="shared" si="25"/>
        <v>9.9985597205614507</v>
      </c>
      <c r="I139" s="176">
        <f t="shared" si="39"/>
        <v>10.866487145184125</v>
      </c>
      <c r="J139" s="177">
        <f t="shared" si="36"/>
        <v>65.198922871104756</v>
      </c>
      <c r="K139" s="178">
        <f t="shared" si="41"/>
        <v>59.991358323368701</v>
      </c>
      <c r="L139" s="179">
        <f t="shared" si="40"/>
        <v>5.2075645477360553</v>
      </c>
      <c r="M139" s="171">
        <f t="shared" si="26"/>
        <v>0.41840422604843419</v>
      </c>
      <c r="N139" s="172">
        <f t="shared" si="27"/>
        <v>5.6259687737844892</v>
      </c>
      <c r="O139" s="171">
        <v>0</v>
      </c>
      <c r="P139" s="171">
        <v>0</v>
      </c>
      <c r="Q139" s="171">
        <v>0</v>
      </c>
      <c r="R139" s="172">
        <f t="shared" si="28"/>
        <v>5.6259687737844892</v>
      </c>
    </row>
    <row r="140" spans="1:18" x14ac:dyDescent="0.25">
      <c r="A140" s="93">
        <v>1</v>
      </c>
      <c r="B140" s="164">
        <f t="shared" si="35"/>
        <v>45292</v>
      </c>
      <c r="C140" s="181">
        <f t="shared" ref="C140:D151" si="42">+C128</f>
        <v>45327</v>
      </c>
      <c r="D140" s="181">
        <f t="shared" si="42"/>
        <v>45348</v>
      </c>
      <c r="E140" s="191" t="s">
        <v>16</v>
      </c>
      <c r="F140" s="129">
        <v>9</v>
      </c>
      <c r="G140" s="166">
        <v>4</v>
      </c>
      <c r="H140" s="167">
        <f t="shared" si="25"/>
        <v>9.9985597205614507</v>
      </c>
      <c r="I140" s="167">
        <f t="shared" si="39"/>
        <v>10.866487145184125</v>
      </c>
      <c r="J140" s="168">
        <f t="shared" si="36"/>
        <v>43.465948580736502</v>
      </c>
      <c r="K140" s="169">
        <f t="shared" si="41"/>
        <v>39.994238882245803</v>
      </c>
      <c r="L140" s="170">
        <f t="shared" si="40"/>
        <v>3.4717096984906988</v>
      </c>
      <c r="M140" s="171">
        <f t="shared" si="26"/>
        <v>0.27893615069895611</v>
      </c>
      <c r="N140" s="172">
        <f t="shared" si="27"/>
        <v>3.750645849189655</v>
      </c>
      <c r="O140" s="171">
        <v>0</v>
      </c>
      <c r="P140" s="171">
        <v>0</v>
      </c>
      <c r="Q140" s="171">
        <v>0</v>
      </c>
      <c r="R140" s="172">
        <f t="shared" si="28"/>
        <v>3.750645849189655</v>
      </c>
    </row>
    <row r="141" spans="1:18" x14ac:dyDescent="0.25">
      <c r="A141" s="129">
        <v>2</v>
      </c>
      <c r="B141" s="164">
        <f t="shared" si="35"/>
        <v>45323</v>
      </c>
      <c r="C141" s="184">
        <f t="shared" si="42"/>
        <v>45356</v>
      </c>
      <c r="D141" s="184">
        <f t="shared" si="42"/>
        <v>45376</v>
      </c>
      <c r="E141" s="52" t="s">
        <v>16</v>
      </c>
      <c r="F141" s="129">
        <v>9</v>
      </c>
      <c r="G141" s="166">
        <v>3</v>
      </c>
      <c r="H141" s="167">
        <f t="shared" si="25"/>
        <v>9.9985597205614507</v>
      </c>
      <c r="I141" s="167">
        <f t="shared" si="39"/>
        <v>10.866487145184125</v>
      </c>
      <c r="J141" s="168">
        <f t="shared" si="36"/>
        <v>32.599461435552378</v>
      </c>
      <c r="K141" s="169">
        <f t="shared" si="41"/>
        <v>29.99567916168435</v>
      </c>
      <c r="L141" s="170">
        <f t="shared" si="40"/>
        <v>2.6037822738680276</v>
      </c>
      <c r="M141" s="171">
        <f t="shared" si="26"/>
        <v>0.2092021130242171</v>
      </c>
      <c r="N141" s="172">
        <f t="shared" si="27"/>
        <v>2.8129843868922446</v>
      </c>
      <c r="O141" s="171">
        <v>0</v>
      </c>
      <c r="P141" s="171">
        <v>0</v>
      </c>
      <c r="Q141" s="171">
        <v>0</v>
      </c>
      <c r="R141" s="172">
        <f t="shared" si="28"/>
        <v>2.8129843868922446</v>
      </c>
    </row>
    <row r="142" spans="1:18" x14ac:dyDescent="0.25">
      <c r="A142" s="129">
        <v>3</v>
      </c>
      <c r="B142" s="164">
        <f t="shared" si="35"/>
        <v>45352</v>
      </c>
      <c r="C142" s="184">
        <f t="shared" si="42"/>
        <v>45385</v>
      </c>
      <c r="D142" s="184">
        <f t="shared" si="42"/>
        <v>45406</v>
      </c>
      <c r="E142" s="52" t="s">
        <v>16</v>
      </c>
      <c r="F142" s="129">
        <v>9</v>
      </c>
      <c r="G142" s="166">
        <v>3</v>
      </c>
      <c r="H142" s="167">
        <f t="shared" si="25"/>
        <v>9.9985597205614507</v>
      </c>
      <c r="I142" s="167">
        <f t="shared" si="39"/>
        <v>10.866487145184125</v>
      </c>
      <c r="J142" s="168">
        <f t="shared" si="36"/>
        <v>32.599461435552378</v>
      </c>
      <c r="K142" s="169">
        <f t="shared" si="41"/>
        <v>29.99567916168435</v>
      </c>
      <c r="L142" s="170">
        <f>+J142-K142</f>
        <v>2.6037822738680276</v>
      </c>
      <c r="M142" s="171">
        <f t="shared" si="26"/>
        <v>0.2092021130242171</v>
      </c>
      <c r="N142" s="172">
        <f t="shared" si="27"/>
        <v>2.8129843868922446</v>
      </c>
      <c r="O142" s="171">
        <v>0</v>
      </c>
      <c r="P142" s="171">
        <v>0</v>
      </c>
      <c r="Q142" s="171">
        <v>0</v>
      </c>
      <c r="R142" s="172">
        <f t="shared" si="28"/>
        <v>2.8129843868922446</v>
      </c>
    </row>
    <row r="143" spans="1:18" x14ac:dyDescent="0.25">
      <c r="A143" s="93">
        <v>4</v>
      </c>
      <c r="B143" s="164">
        <f t="shared" si="35"/>
        <v>45383</v>
      </c>
      <c r="C143" s="184">
        <f t="shared" si="42"/>
        <v>45415</v>
      </c>
      <c r="D143" s="184">
        <f t="shared" si="42"/>
        <v>45436</v>
      </c>
      <c r="E143" s="52" t="s">
        <v>16</v>
      </c>
      <c r="F143" s="129">
        <v>9</v>
      </c>
      <c r="G143" s="166">
        <v>2</v>
      </c>
      <c r="H143" s="167">
        <f t="shared" si="25"/>
        <v>9.9985597205614507</v>
      </c>
      <c r="I143" s="167">
        <f t="shared" si="39"/>
        <v>10.866487145184125</v>
      </c>
      <c r="J143" s="168">
        <f t="shared" si="36"/>
        <v>21.732974290368251</v>
      </c>
      <c r="K143" s="169">
        <f t="shared" si="41"/>
        <v>19.997119441122901</v>
      </c>
      <c r="L143" s="170">
        <f t="shared" ref="L143:L153" si="43">+J143-K143</f>
        <v>1.7358548492453494</v>
      </c>
      <c r="M143" s="171">
        <f t="shared" si="26"/>
        <v>0.13946807534947805</v>
      </c>
      <c r="N143" s="172">
        <f t="shared" si="27"/>
        <v>1.8753229245948275</v>
      </c>
      <c r="O143" s="171">
        <v>0</v>
      </c>
      <c r="P143" s="171">
        <v>0</v>
      </c>
      <c r="Q143" s="171">
        <v>0</v>
      </c>
      <c r="R143" s="172">
        <f t="shared" si="28"/>
        <v>1.8753229245948275</v>
      </c>
    </row>
    <row r="144" spans="1:18" x14ac:dyDescent="0.25">
      <c r="A144" s="129">
        <v>5</v>
      </c>
      <c r="B144" s="164">
        <f t="shared" si="35"/>
        <v>45413</v>
      </c>
      <c r="C144" s="184">
        <f t="shared" si="42"/>
        <v>45448</v>
      </c>
      <c r="D144" s="184">
        <f t="shared" si="42"/>
        <v>45467</v>
      </c>
      <c r="E144" s="52" t="s">
        <v>16</v>
      </c>
      <c r="F144" s="129">
        <v>9</v>
      </c>
      <c r="G144" s="166">
        <v>4</v>
      </c>
      <c r="H144" s="167">
        <f t="shared" si="25"/>
        <v>9.9985597205614507</v>
      </c>
      <c r="I144" s="167">
        <f t="shared" si="39"/>
        <v>10.866487145184125</v>
      </c>
      <c r="J144" s="168">
        <f t="shared" si="36"/>
        <v>43.465948580736502</v>
      </c>
      <c r="K144" s="169">
        <f t="shared" si="41"/>
        <v>39.994238882245803</v>
      </c>
      <c r="L144" s="170">
        <f t="shared" si="43"/>
        <v>3.4717096984906988</v>
      </c>
      <c r="M144" s="171">
        <f t="shared" si="26"/>
        <v>0.27893615069895611</v>
      </c>
      <c r="N144" s="172">
        <f t="shared" si="27"/>
        <v>3.750645849189655</v>
      </c>
      <c r="O144" s="171">
        <v>0</v>
      </c>
      <c r="P144" s="171">
        <v>0</v>
      </c>
      <c r="Q144" s="171">
        <v>0</v>
      </c>
      <c r="R144" s="172">
        <f t="shared" si="28"/>
        <v>3.750645849189655</v>
      </c>
    </row>
    <row r="145" spans="1:19" x14ac:dyDescent="0.25">
      <c r="A145" s="129">
        <v>6</v>
      </c>
      <c r="B145" s="164">
        <f t="shared" si="35"/>
        <v>45444</v>
      </c>
      <c r="C145" s="184">
        <f t="shared" si="42"/>
        <v>45476</v>
      </c>
      <c r="D145" s="184">
        <f t="shared" si="42"/>
        <v>45497</v>
      </c>
      <c r="E145" s="52" t="s">
        <v>16</v>
      </c>
      <c r="F145" s="129">
        <v>9</v>
      </c>
      <c r="G145" s="166">
        <v>4</v>
      </c>
      <c r="H145" s="167">
        <f t="shared" si="25"/>
        <v>9.9985597205614507</v>
      </c>
      <c r="I145" s="167">
        <f t="shared" si="39"/>
        <v>10.866487145184125</v>
      </c>
      <c r="J145" s="168">
        <f t="shared" si="36"/>
        <v>43.465948580736502</v>
      </c>
      <c r="K145" s="169">
        <f t="shared" si="41"/>
        <v>39.994238882245803</v>
      </c>
      <c r="L145" s="174">
        <f t="shared" si="43"/>
        <v>3.4717096984906988</v>
      </c>
      <c r="M145" s="171">
        <f t="shared" si="26"/>
        <v>0.27893615069895611</v>
      </c>
      <c r="N145" s="172">
        <f t="shared" si="27"/>
        <v>3.750645849189655</v>
      </c>
      <c r="O145" s="171">
        <v>0</v>
      </c>
      <c r="P145" s="171">
        <v>0</v>
      </c>
      <c r="Q145" s="171">
        <v>0</v>
      </c>
      <c r="R145" s="172">
        <f t="shared" si="28"/>
        <v>3.750645849189655</v>
      </c>
    </row>
    <row r="146" spans="1:19" x14ac:dyDescent="0.25">
      <c r="A146" s="93">
        <v>7</v>
      </c>
      <c r="B146" s="164">
        <f t="shared" si="35"/>
        <v>45474</v>
      </c>
      <c r="C146" s="184">
        <f t="shared" si="42"/>
        <v>45509</v>
      </c>
      <c r="D146" s="184">
        <f t="shared" si="42"/>
        <v>45530</v>
      </c>
      <c r="E146" s="52" t="s">
        <v>16</v>
      </c>
      <c r="F146" s="129">
        <v>9</v>
      </c>
      <c r="G146" s="166">
        <v>6</v>
      </c>
      <c r="H146" s="167">
        <f t="shared" si="25"/>
        <v>9.9985597205614507</v>
      </c>
      <c r="I146" s="167">
        <f t="shared" si="39"/>
        <v>10.866487145184125</v>
      </c>
      <c r="J146" s="168">
        <f t="shared" si="36"/>
        <v>65.198922871104756</v>
      </c>
      <c r="K146" s="175">
        <f t="shared" si="41"/>
        <v>59.991358323368701</v>
      </c>
      <c r="L146" s="174">
        <f t="shared" si="43"/>
        <v>5.2075645477360553</v>
      </c>
      <c r="M146" s="171">
        <f t="shared" si="26"/>
        <v>0.41840422604843419</v>
      </c>
      <c r="N146" s="172">
        <f t="shared" si="27"/>
        <v>5.6259687737844892</v>
      </c>
      <c r="O146" s="171">
        <v>0</v>
      </c>
      <c r="P146" s="171">
        <v>0</v>
      </c>
      <c r="Q146" s="171">
        <v>0</v>
      </c>
      <c r="R146" s="172">
        <f t="shared" si="28"/>
        <v>5.6259687737844892</v>
      </c>
    </row>
    <row r="147" spans="1:19" x14ac:dyDescent="0.25">
      <c r="A147" s="129">
        <v>8</v>
      </c>
      <c r="B147" s="164">
        <f t="shared" si="35"/>
        <v>45505</v>
      </c>
      <c r="C147" s="184">
        <f t="shared" si="42"/>
        <v>45539</v>
      </c>
      <c r="D147" s="184">
        <f t="shared" si="42"/>
        <v>45559</v>
      </c>
      <c r="E147" s="52" t="s">
        <v>16</v>
      </c>
      <c r="F147" s="129">
        <v>9</v>
      </c>
      <c r="G147" s="166">
        <v>6</v>
      </c>
      <c r="H147" s="167">
        <f t="shared" si="25"/>
        <v>9.9985597205614507</v>
      </c>
      <c r="I147" s="167">
        <f t="shared" si="39"/>
        <v>10.866487145184125</v>
      </c>
      <c r="J147" s="168">
        <f t="shared" si="36"/>
        <v>65.198922871104756</v>
      </c>
      <c r="K147" s="175">
        <f t="shared" si="41"/>
        <v>59.991358323368701</v>
      </c>
      <c r="L147" s="174">
        <f t="shared" si="43"/>
        <v>5.2075645477360553</v>
      </c>
      <c r="M147" s="171">
        <f t="shared" si="26"/>
        <v>0.41840422604843419</v>
      </c>
      <c r="N147" s="172">
        <f t="shared" si="27"/>
        <v>5.6259687737844892</v>
      </c>
      <c r="O147" s="171">
        <v>0</v>
      </c>
      <c r="P147" s="171">
        <v>0</v>
      </c>
      <c r="Q147" s="171">
        <v>0</v>
      </c>
      <c r="R147" s="172">
        <f t="shared" si="28"/>
        <v>5.6259687737844892</v>
      </c>
    </row>
    <row r="148" spans="1:19" x14ac:dyDescent="0.25">
      <c r="A148" s="129">
        <v>9</v>
      </c>
      <c r="B148" s="164">
        <f t="shared" si="35"/>
        <v>45536</v>
      </c>
      <c r="C148" s="184">
        <f t="shared" si="42"/>
        <v>45568</v>
      </c>
      <c r="D148" s="184">
        <f t="shared" si="42"/>
        <v>45589</v>
      </c>
      <c r="E148" s="52" t="s">
        <v>16</v>
      </c>
      <c r="F148" s="129">
        <v>9</v>
      </c>
      <c r="G148" s="166">
        <v>3</v>
      </c>
      <c r="H148" s="167">
        <f t="shared" si="25"/>
        <v>9.9985597205614507</v>
      </c>
      <c r="I148" s="167">
        <f t="shared" ref="I148:I179" si="44">$J$3</f>
        <v>10.866487145184125</v>
      </c>
      <c r="J148" s="168">
        <f t="shared" si="36"/>
        <v>32.599461435552378</v>
      </c>
      <c r="K148" s="175">
        <f t="shared" si="41"/>
        <v>29.99567916168435</v>
      </c>
      <c r="L148" s="174">
        <f t="shared" si="43"/>
        <v>2.6037822738680276</v>
      </c>
      <c r="M148" s="171">
        <f t="shared" si="26"/>
        <v>0.2092021130242171</v>
      </c>
      <c r="N148" s="172">
        <f t="shared" si="27"/>
        <v>2.8129843868922446</v>
      </c>
      <c r="O148" s="171">
        <v>0</v>
      </c>
      <c r="P148" s="171">
        <v>0</v>
      </c>
      <c r="Q148" s="171">
        <v>0</v>
      </c>
      <c r="R148" s="172">
        <f t="shared" si="28"/>
        <v>2.8129843868922446</v>
      </c>
    </row>
    <row r="149" spans="1:19" x14ac:dyDescent="0.25">
      <c r="A149" s="93">
        <v>10</v>
      </c>
      <c r="B149" s="164">
        <f t="shared" ref="B149:B211" si="45">DATE($R$1,A149,1)</f>
        <v>45566</v>
      </c>
      <c r="C149" s="184">
        <f t="shared" si="42"/>
        <v>45601</v>
      </c>
      <c r="D149" s="184">
        <f t="shared" si="42"/>
        <v>45621</v>
      </c>
      <c r="E149" s="52" t="s">
        <v>16</v>
      </c>
      <c r="F149" s="129">
        <v>9</v>
      </c>
      <c r="G149" s="166">
        <v>6</v>
      </c>
      <c r="H149" s="167">
        <f t="shared" ref="H149:H211" si="46">+$K$3</f>
        <v>9.9985597205614507</v>
      </c>
      <c r="I149" s="167">
        <f t="shared" si="44"/>
        <v>10.866487145184125</v>
      </c>
      <c r="J149" s="168">
        <f t="shared" ref="J149:J211" si="47">+$G149*I149</f>
        <v>65.198922871104756</v>
      </c>
      <c r="K149" s="175">
        <f t="shared" si="41"/>
        <v>59.991358323368701</v>
      </c>
      <c r="L149" s="174">
        <f t="shared" si="43"/>
        <v>5.2075645477360553</v>
      </c>
      <c r="M149" s="171">
        <f t="shared" ref="M149:M211" si="48">G149/$G$212*$M$14</f>
        <v>0.41840422604843419</v>
      </c>
      <c r="N149" s="172">
        <f t="shared" ref="N149:N211" si="49">SUM(L149:M149)</f>
        <v>5.6259687737844892</v>
      </c>
      <c r="O149" s="171">
        <v>0</v>
      </c>
      <c r="P149" s="171">
        <v>0</v>
      </c>
      <c r="Q149" s="171">
        <v>0</v>
      </c>
      <c r="R149" s="172">
        <f t="shared" ref="R149:R211" si="50">+N149-Q149</f>
        <v>5.6259687737844892</v>
      </c>
    </row>
    <row r="150" spans="1:19" x14ac:dyDescent="0.25">
      <c r="A150" s="129">
        <v>11</v>
      </c>
      <c r="B150" s="164">
        <f t="shared" si="45"/>
        <v>45597</v>
      </c>
      <c r="C150" s="184">
        <f t="shared" si="42"/>
        <v>45630</v>
      </c>
      <c r="D150" s="184">
        <f t="shared" si="42"/>
        <v>45650</v>
      </c>
      <c r="E150" s="52" t="s">
        <v>16</v>
      </c>
      <c r="F150" s="129">
        <v>9</v>
      </c>
      <c r="G150" s="166">
        <v>1</v>
      </c>
      <c r="H150" s="167">
        <f t="shared" si="46"/>
        <v>9.9985597205614507</v>
      </c>
      <c r="I150" s="167">
        <f t="shared" si="44"/>
        <v>10.866487145184125</v>
      </c>
      <c r="J150" s="168">
        <f t="shared" si="47"/>
        <v>10.866487145184125</v>
      </c>
      <c r="K150" s="175">
        <f t="shared" si="41"/>
        <v>9.9985597205614507</v>
      </c>
      <c r="L150" s="174">
        <f t="shared" si="43"/>
        <v>0.86792742462267469</v>
      </c>
      <c r="M150" s="171">
        <f t="shared" si="48"/>
        <v>6.9734037674739027E-2</v>
      </c>
      <c r="N150" s="172">
        <f t="shared" si="49"/>
        <v>0.93766146229741376</v>
      </c>
      <c r="O150" s="171">
        <v>0</v>
      </c>
      <c r="P150" s="171">
        <v>0</v>
      </c>
      <c r="Q150" s="171">
        <v>0</v>
      </c>
      <c r="R150" s="172">
        <f t="shared" si="50"/>
        <v>0.93766146229741376</v>
      </c>
    </row>
    <row r="151" spans="1:19" s="188" customFormat="1" x14ac:dyDescent="0.25">
      <c r="A151" s="129">
        <v>12</v>
      </c>
      <c r="B151" s="186">
        <f t="shared" si="45"/>
        <v>45627</v>
      </c>
      <c r="C151" s="184">
        <f t="shared" si="42"/>
        <v>45660</v>
      </c>
      <c r="D151" s="184">
        <f t="shared" si="42"/>
        <v>45681</v>
      </c>
      <c r="E151" s="187" t="s">
        <v>16</v>
      </c>
      <c r="F151" s="140">
        <v>9</v>
      </c>
      <c r="G151" s="166">
        <v>3</v>
      </c>
      <c r="H151" s="176">
        <f t="shared" si="46"/>
        <v>9.9985597205614507</v>
      </c>
      <c r="I151" s="176">
        <f t="shared" si="44"/>
        <v>10.866487145184125</v>
      </c>
      <c r="J151" s="177">
        <f t="shared" si="47"/>
        <v>32.599461435552378</v>
      </c>
      <c r="K151" s="178">
        <f t="shared" si="41"/>
        <v>29.99567916168435</v>
      </c>
      <c r="L151" s="179">
        <f t="shared" si="43"/>
        <v>2.6037822738680276</v>
      </c>
      <c r="M151" s="171">
        <f t="shared" si="48"/>
        <v>0.2092021130242171</v>
      </c>
      <c r="N151" s="172">
        <f t="shared" si="49"/>
        <v>2.8129843868922446</v>
      </c>
      <c r="O151" s="171">
        <v>0</v>
      </c>
      <c r="P151" s="171">
        <v>0</v>
      </c>
      <c r="Q151" s="171">
        <v>0</v>
      </c>
      <c r="R151" s="172">
        <f t="shared" si="50"/>
        <v>2.8129843868922446</v>
      </c>
    </row>
    <row r="152" spans="1:19" x14ac:dyDescent="0.25">
      <c r="A152" s="93">
        <v>1</v>
      </c>
      <c r="B152" s="164">
        <f t="shared" si="45"/>
        <v>45292</v>
      </c>
      <c r="C152" s="181">
        <f t="shared" ref="C152:D171" si="51">+C140</f>
        <v>45327</v>
      </c>
      <c r="D152" s="181">
        <f t="shared" si="51"/>
        <v>45348</v>
      </c>
      <c r="E152" s="191" t="s">
        <v>54</v>
      </c>
      <c r="F152" s="93">
        <v>9</v>
      </c>
      <c r="G152" s="166">
        <v>145</v>
      </c>
      <c r="H152" s="167">
        <f t="shared" si="46"/>
        <v>9.9985597205614507</v>
      </c>
      <c r="I152" s="167">
        <f t="shared" si="44"/>
        <v>10.866487145184125</v>
      </c>
      <c r="J152" s="168">
        <f t="shared" si="47"/>
        <v>1575.6406360516983</v>
      </c>
      <c r="K152" s="169">
        <f t="shared" si="41"/>
        <v>1449.7911594814104</v>
      </c>
      <c r="L152" s="170">
        <f t="shared" si="43"/>
        <v>125.84947657028783</v>
      </c>
      <c r="M152" s="171">
        <f t="shared" si="48"/>
        <v>10.111435462837159</v>
      </c>
      <c r="N152" s="172">
        <f t="shared" si="49"/>
        <v>135.960912033125</v>
      </c>
      <c r="O152" s="171">
        <v>0</v>
      </c>
      <c r="P152" s="171">
        <v>0</v>
      </c>
      <c r="Q152" s="171">
        <v>0</v>
      </c>
      <c r="R152" s="172">
        <f t="shared" si="50"/>
        <v>135.960912033125</v>
      </c>
    </row>
    <row r="153" spans="1:19" x14ac:dyDescent="0.25">
      <c r="A153" s="129">
        <v>2</v>
      </c>
      <c r="B153" s="164">
        <f t="shared" si="45"/>
        <v>45323</v>
      </c>
      <c r="C153" s="184">
        <f t="shared" si="51"/>
        <v>45356</v>
      </c>
      <c r="D153" s="184">
        <f t="shared" si="51"/>
        <v>45376</v>
      </c>
      <c r="E153" s="192" t="s">
        <v>54</v>
      </c>
      <c r="F153" s="129">
        <v>9</v>
      </c>
      <c r="G153" s="166">
        <v>100</v>
      </c>
      <c r="H153" s="167">
        <f t="shared" si="46"/>
        <v>9.9985597205614507</v>
      </c>
      <c r="I153" s="167">
        <f t="shared" si="44"/>
        <v>10.866487145184125</v>
      </c>
      <c r="J153" s="168">
        <f t="shared" si="47"/>
        <v>1086.6487145184126</v>
      </c>
      <c r="K153" s="169">
        <f t="shared" si="41"/>
        <v>999.85597205614511</v>
      </c>
      <c r="L153" s="170">
        <f t="shared" si="43"/>
        <v>86.792742462267483</v>
      </c>
      <c r="M153" s="171">
        <f t="shared" si="48"/>
        <v>6.9734037674739033</v>
      </c>
      <c r="N153" s="172">
        <f t="shared" si="49"/>
        <v>93.766146229741381</v>
      </c>
      <c r="O153" s="171">
        <v>0</v>
      </c>
      <c r="P153" s="171">
        <v>0</v>
      </c>
      <c r="Q153" s="171">
        <v>0</v>
      </c>
      <c r="R153" s="172">
        <f t="shared" si="50"/>
        <v>93.766146229741381</v>
      </c>
    </row>
    <row r="154" spans="1:19" x14ac:dyDescent="0.25">
      <c r="A154" s="129">
        <v>3</v>
      </c>
      <c r="B154" s="164">
        <f t="shared" si="45"/>
        <v>45352</v>
      </c>
      <c r="C154" s="184">
        <f t="shared" si="51"/>
        <v>45385</v>
      </c>
      <c r="D154" s="184">
        <f t="shared" si="51"/>
        <v>45406</v>
      </c>
      <c r="E154" s="192" t="s">
        <v>54</v>
      </c>
      <c r="F154" s="129">
        <v>9</v>
      </c>
      <c r="G154" s="166">
        <v>92</v>
      </c>
      <c r="H154" s="167">
        <f t="shared" si="46"/>
        <v>9.9985597205614507</v>
      </c>
      <c r="I154" s="167">
        <f t="shared" si="44"/>
        <v>10.866487145184125</v>
      </c>
      <c r="J154" s="168">
        <f t="shared" si="47"/>
        <v>999.71681735693949</v>
      </c>
      <c r="K154" s="169">
        <f t="shared" si="41"/>
        <v>919.86749429165343</v>
      </c>
      <c r="L154" s="170">
        <f>+J154-K154</f>
        <v>79.849323065286057</v>
      </c>
      <c r="M154" s="171">
        <f t="shared" si="48"/>
        <v>6.4155314660759908</v>
      </c>
      <c r="N154" s="172">
        <f t="shared" si="49"/>
        <v>86.264854531362047</v>
      </c>
      <c r="O154" s="171">
        <v>0</v>
      </c>
      <c r="P154" s="171">
        <v>0</v>
      </c>
      <c r="Q154" s="171">
        <v>0</v>
      </c>
      <c r="R154" s="172">
        <f t="shared" si="50"/>
        <v>86.264854531362047</v>
      </c>
    </row>
    <row r="155" spans="1:19" x14ac:dyDescent="0.25">
      <c r="A155" s="93">
        <v>4</v>
      </c>
      <c r="B155" s="164">
        <f t="shared" si="45"/>
        <v>45383</v>
      </c>
      <c r="C155" s="184">
        <f t="shared" si="51"/>
        <v>45415</v>
      </c>
      <c r="D155" s="184">
        <f t="shared" si="51"/>
        <v>45436</v>
      </c>
      <c r="E155" s="192" t="s">
        <v>54</v>
      </c>
      <c r="F155" s="129">
        <v>9</v>
      </c>
      <c r="G155" s="166">
        <v>101</v>
      </c>
      <c r="H155" s="167">
        <f t="shared" si="46"/>
        <v>9.9985597205614507</v>
      </c>
      <c r="I155" s="167">
        <f t="shared" si="44"/>
        <v>10.866487145184125</v>
      </c>
      <c r="J155" s="168">
        <f t="shared" si="47"/>
        <v>1097.5152016635966</v>
      </c>
      <c r="K155" s="169">
        <f t="shared" si="41"/>
        <v>1009.8545317767065</v>
      </c>
      <c r="L155" s="170">
        <f t="shared" ref="L155:L165" si="52">+J155-K155</f>
        <v>87.660669886890105</v>
      </c>
      <c r="M155" s="171">
        <f t="shared" si="48"/>
        <v>7.0431378051486426</v>
      </c>
      <c r="N155" s="172">
        <f t="shared" si="49"/>
        <v>94.703807692038751</v>
      </c>
      <c r="O155" s="171">
        <v>0</v>
      </c>
      <c r="P155" s="171">
        <v>0</v>
      </c>
      <c r="Q155" s="171">
        <v>0</v>
      </c>
      <c r="R155" s="172">
        <f t="shared" si="50"/>
        <v>94.703807692038751</v>
      </c>
    </row>
    <row r="156" spans="1:19" x14ac:dyDescent="0.25">
      <c r="A156" s="129">
        <v>5</v>
      </c>
      <c r="B156" s="164">
        <f t="shared" si="45"/>
        <v>45413</v>
      </c>
      <c r="C156" s="184">
        <f t="shared" si="51"/>
        <v>45448</v>
      </c>
      <c r="D156" s="184">
        <f t="shared" si="51"/>
        <v>45467</v>
      </c>
      <c r="E156" s="192" t="s">
        <v>54</v>
      </c>
      <c r="F156" s="129">
        <v>9</v>
      </c>
      <c r="G156" s="166">
        <v>118</v>
      </c>
      <c r="H156" s="167">
        <f t="shared" si="46"/>
        <v>9.9985597205614507</v>
      </c>
      <c r="I156" s="167">
        <f t="shared" si="44"/>
        <v>10.866487145184125</v>
      </c>
      <c r="J156" s="168">
        <f t="shared" si="47"/>
        <v>1282.2454831317268</v>
      </c>
      <c r="K156" s="169">
        <f t="shared" si="41"/>
        <v>1179.8300470262511</v>
      </c>
      <c r="L156" s="170">
        <f t="shared" si="52"/>
        <v>102.41543610547569</v>
      </c>
      <c r="M156" s="171">
        <f t="shared" si="48"/>
        <v>8.2286164456192061</v>
      </c>
      <c r="N156" s="172">
        <f t="shared" si="49"/>
        <v>110.6440525510949</v>
      </c>
      <c r="O156" s="171">
        <v>0</v>
      </c>
      <c r="P156" s="171">
        <v>0</v>
      </c>
      <c r="Q156" s="171">
        <v>0</v>
      </c>
      <c r="R156" s="172">
        <f t="shared" si="50"/>
        <v>110.6440525510949</v>
      </c>
    </row>
    <row r="157" spans="1:19" x14ac:dyDescent="0.25">
      <c r="A157" s="129">
        <v>6</v>
      </c>
      <c r="B157" s="164">
        <f t="shared" si="45"/>
        <v>45444</v>
      </c>
      <c r="C157" s="184">
        <f t="shared" si="51"/>
        <v>45476</v>
      </c>
      <c r="D157" s="184">
        <f t="shared" si="51"/>
        <v>45497</v>
      </c>
      <c r="E157" s="192" t="s">
        <v>54</v>
      </c>
      <c r="F157" s="129">
        <v>9</v>
      </c>
      <c r="G157" s="166">
        <v>173</v>
      </c>
      <c r="H157" s="167">
        <f t="shared" si="46"/>
        <v>9.9985597205614507</v>
      </c>
      <c r="I157" s="167">
        <f t="shared" si="44"/>
        <v>10.866487145184125</v>
      </c>
      <c r="J157" s="168">
        <f t="shared" si="47"/>
        <v>1879.9022761168537</v>
      </c>
      <c r="K157" s="169">
        <f t="shared" si="41"/>
        <v>1729.7508316571309</v>
      </c>
      <c r="L157" s="174">
        <f t="shared" si="52"/>
        <v>150.15144445972282</v>
      </c>
      <c r="M157" s="171">
        <f t="shared" si="48"/>
        <v>12.063988517729852</v>
      </c>
      <c r="N157" s="172">
        <f t="shared" si="49"/>
        <v>162.21543297745268</v>
      </c>
      <c r="O157" s="171">
        <v>0</v>
      </c>
      <c r="P157" s="171">
        <v>0</v>
      </c>
      <c r="Q157" s="171">
        <v>0</v>
      </c>
      <c r="R157" s="172">
        <f t="shared" si="50"/>
        <v>162.21543297745268</v>
      </c>
    </row>
    <row r="158" spans="1:19" x14ac:dyDescent="0.25">
      <c r="A158" s="93">
        <v>7</v>
      </c>
      <c r="B158" s="164">
        <f t="shared" si="45"/>
        <v>45474</v>
      </c>
      <c r="C158" s="184">
        <f t="shared" si="51"/>
        <v>45509</v>
      </c>
      <c r="D158" s="184">
        <f t="shared" si="51"/>
        <v>45530</v>
      </c>
      <c r="E158" s="192" t="s">
        <v>54</v>
      </c>
      <c r="F158" s="129">
        <v>9</v>
      </c>
      <c r="G158" s="166">
        <v>164</v>
      </c>
      <c r="H158" s="167">
        <f t="shared" si="46"/>
        <v>9.9985597205614507</v>
      </c>
      <c r="I158" s="167">
        <f t="shared" si="44"/>
        <v>10.866487145184125</v>
      </c>
      <c r="J158" s="168">
        <f t="shared" si="47"/>
        <v>1782.1038918101965</v>
      </c>
      <c r="K158" s="175">
        <f t="shared" si="41"/>
        <v>1639.763794172078</v>
      </c>
      <c r="L158" s="174">
        <f t="shared" si="52"/>
        <v>142.34009763811855</v>
      </c>
      <c r="M158" s="171">
        <f t="shared" si="48"/>
        <v>11.436382178657201</v>
      </c>
      <c r="N158" s="172">
        <f t="shared" si="49"/>
        <v>153.77647981677575</v>
      </c>
      <c r="O158" s="171">
        <v>0</v>
      </c>
      <c r="P158" s="171">
        <v>0</v>
      </c>
      <c r="Q158" s="171">
        <v>0</v>
      </c>
      <c r="R158" s="172">
        <f t="shared" si="50"/>
        <v>153.77647981677575</v>
      </c>
    </row>
    <row r="159" spans="1:19" x14ac:dyDescent="0.25">
      <c r="A159" s="129">
        <v>8</v>
      </c>
      <c r="B159" s="164">
        <f t="shared" si="45"/>
        <v>45505</v>
      </c>
      <c r="C159" s="184">
        <f t="shared" si="51"/>
        <v>45539</v>
      </c>
      <c r="D159" s="184">
        <f t="shared" si="51"/>
        <v>45559</v>
      </c>
      <c r="E159" s="192" t="s">
        <v>54</v>
      </c>
      <c r="F159" s="93">
        <v>9</v>
      </c>
      <c r="G159" s="166">
        <v>170</v>
      </c>
      <c r="H159" s="167">
        <f t="shared" si="46"/>
        <v>9.9985597205614507</v>
      </c>
      <c r="I159" s="167">
        <f t="shared" si="44"/>
        <v>10.866487145184125</v>
      </c>
      <c r="J159" s="168">
        <f t="shared" si="47"/>
        <v>1847.3028146813012</v>
      </c>
      <c r="K159" s="175">
        <f t="shared" si="41"/>
        <v>1699.7551524954465</v>
      </c>
      <c r="L159" s="174">
        <f t="shared" si="52"/>
        <v>147.54766218585473</v>
      </c>
      <c r="M159" s="171">
        <f t="shared" si="48"/>
        <v>11.854786404705635</v>
      </c>
      <c r="N159" s="172">
        <f t="shared" si="49"/>
        <v>159.40244859056037</v>
      </c>
      <c r="O159" s="171">
        <v>0</v>
      </c>
      <c r="P159" s="171">
        <v>0</v>
      </c>
      <c r="Q159" s="171">
        <v>0</v>
      </c>
      <c r="R159" s="172">
        <f t="shared" si="50"/>
        <v>159.40244859056037</v>
      </c>
      <c r="S159" s="50"/>
    </row>
    <row r="160" spans="1:19" x14ac:dyDescent="0.25">
      <c r="A160" s="129">
        <v>9</v>
      </c>
      <c r="B160" s="164">
        <f t="shared" si="45"/>
        <v>45536</v>
      </c>
      <c r="C160" s="184">
        <f t="shared" si="51"/>
        <v>45568</v>
      </c>
      <c r="D160" s="184">
        <f t="shared" si="51"/>
        <v>45589</v>
      </c>
      <c r="E160" s="192" t="s">
        <v>54</v>
      </c>
      <c r="F160" s="93">
        <v>9</v>
      </c>
      <c r="G160" s="166">
        <v>156</v>
      </c>
      <c r="H160" s="167">
        <f t="shared" si="46"/>
        <v>9.9985597205614507</v>
      </c>
      <c r="I160" s="167">
        <f t="shared" si="44"/>
        <v>10.866487145184125</v>
      </c>
      <c r="J160" s="168">
        <f t="shared" si="47"/>
        <v>1695.1719946487235</v>
      </c>
      <c r="K160" s="175">
        <f t="shared" si="41"/>
        <v>1559.7753164075864</v>
      </c>
      <c r="L160" s="174">
        <f t="shared" si="52"/>
        <v>135.39667824113712</v>
      </c>
      <c r="M160" s="171">
        <f t="shared" si="48"/>
        <v>10.878509877259289</v>
      </c>
      <c r="N160" s="172">
        <f t="shared" si="49"/>
        <v>146.27518811839641</v>
      </c>
      <c r="O160" s="171">
        <v>0</v>
      </c>
      <c r="P160" s="171">
        <v>0</v>
      </c>
      <c r="Q160" s="171">
        <v>0</v>
      </c>
      <c r="R160" s="172">
        <f t="shared" si="50"/>
        <v>146.27518811839641</v>
      </c>
    </row>
    <row r="161" spans="1:19" x14ac:dyDescent="0.25">
      <c r="A161" s="93">
        <v>10</v>
      </c>
      <c r="B161" s="164">
        <f t="shared" si="45"/>
        <v>45566</v>
      </c>
      <c r="C161" s="184">
        <f t="shared" si="51"/>
        <v>45601</v>
      </c>
      <c r="D161" s="184">
        <f t="shared" si="51"/>
        <v>45621</v>
      </c>
      <c r="E161" s="192" t="s">
        <v>54</v>
      </c>
      <c r="F161" s="93">
        <v>9</v>
      </c>
      <c r="G161" s="166">
        <v>139</v>
      </c>
      <c r="H161" s="167">
        <f t="shared" si="46"/>
        <v>9.9985597205614507</v>
      </c>
      <c r="I161" s="167">
        <f t="shared" si="44"/>
        <v>10.866487145184125</v>
      </c>
      <c r="J161" s="168">
        <f t="shared" si="47"/>
        <v>1510.4417131805935</v>
      </c>
      <c r="K161" s="175">
        <f t="shared" si="41"/>
        <v>1389.7998011580416</v>
      </c>
      <c r="L161" s="174">
        <f t="shared" si="52"/>
        <v>120.64191202255188</v>
      </c>
      <c r="M161" s="171">
        <f t="shared" si="48"/>
        <v>9.693031236788725</v>
      </c>
      <c r="N161" s="172">
        <f t="shared" si="49"/>
        <v>130.3349432593406</v>
      </c>
      <c r="O161" s="171">
        <v>0</v>
      </c>
      <c r="P161" s="171">
        <v>0</v>
      </c>
      <c r="Q161" s="171">
        <v>0</v>
      </c>
      <c r="R161" s="172">
        <f t="shared" si="50"/>
        <v>130.3349432593406</v>
      </c>
    </row>
    <row r="162" spans="1:19" x14ac:dyDescent="0.25">
      <c r="A162" s="129">
        <v>11</v>
      </c>
      <c r="B162" s="164">
        <f t="shared" si="45"/>
        <v>45597</v>
      </c>
      <c r="C162" s="184">
        <f t="shared" si="51"/>
        <v>45630</v>
      </c>
      <c r="D162" s="184">
        <f t="shared" si="51"/>
        <v>45650</v>
      </c>
      <c r="E162" s="192" t="s">
        <v>54</v>
      </c>
      <c r="F162" s="93">
        <v>9</v>
      </c>
      <c r="G162" s="166">
        <v>90</v>
      </c>
      <c r="H162" s="167">
        <f t="shared" si="46"/>
        <v>9.9985597205614507</v>
      </c>
      <c r="I162" s="167">
        <f t="shared" si="44"/>
        <v>10.866487145184125</v>
      </c>
      <c r="J162" s="168">
        <f t="shared" si="47"/>
        <v>977.98384306657124</v>
      </c>
      <c r="K162" s="175">
        <f t="shared" si="41"/>
        <v>899.87037485053054</v>
      </c>
      <c r="L162" s="174">
        <f t="shared" si="52"/>
        <v>78.113468216040701</v>
      </c>
      <c r="M162" s="171">
        <f t="shared" si="48"/>
        <v>6.2760633907265131</v>
      </c>
      <c r="N162" s="172">
        <f t="shared" si="49"/>
        <v>84.389531606767207</v>
      </c>
      <c r="O162" s="171">
        <v>0</v>
      </c>
      <c r="P162" s="171">
        <v>0</v>
      </c>
      <c r="Q162" s="171">
        <v>0</v>
      </c>
      <c r="R162" s="172">
        <f t="shared" si="50"/>
        <v>84.389531606767207</v>
      </c>
    </row>
    <row r="163" spans="1:19" s="188" customFormat="1" x14ac:dyDescent="0.25">
      <c r="A163" s="129">
        <v>12</v>
      </c>
      <c r="B163" s="186">
        <f t="shared" si="45"/>
        <v>45627</v>
      </c>
      <c r="C163" s="184">
        <f t="shared" si="51"/>
        <v>45660</v>
      </c>
      <c r="D163" s="184">
        <f t="shared" si="51"/>
        <v>45681</v>
      </c>
      <c r="E163" s="193" t="s">
        <v>54</v>
      </c>
      <c r="F163" s="140">
        <v>9</v>
      </c>
      <c r="G163" s="166">
        <v>110</v>
      </c>
      <c r="H163" s="176">
        <f t="shared" si="46"/>
        <v>9.9985597205614507</v>
      </c>
      <c r="I163" s="176">
        <f t="shared" si="44"/>
        <v>10.866487145184125</v>
      </c>
      <c r="J163" s="177">
        <f t="shared" si="47"/>
        <v>1195.3135859702538</v>
      </c>
      <c r="K163" s="178">
        <f t="shared" si="41"/>
        <v>1099.8415692617596</v>
      </c>
      <c r="L163" s="179">
        <f t="shared" si="52"/>
        <v>95.472016708494266</v>
      </c>
      <c r="M163" s="171">
        <f t="shared" si="48"/>
        <v>7.6707441442212927</v>
      </c>
      <c r="N163" s="172">
        <f t="shared" si="49"/>
        <v>103.14276085271555</v>
      </c>
      <c r="O163" s="171">
        <v>0</v>
      </c>
      <c r="P163" s="171">
        <v>0</v>
      </c>
      <c r="Q163" s="171">
        <v>0</v>
      </c>
      <c r="R163" s="172">
        <f t="shared" si="50"/>
        <v>103.14276085271555</v>
      </c>
    </row>
    <row r="164" spans="1:19" x14ac:dyDescent="0.25">
      <c r="A164" s="93">
        <v>1</v>
      </c>
      <c r="B164" s="164">
        <f t="shared" si="45"/>
        <v>45292</v>
      </c>
      <c r="C164" s="181">
        <f t="shared" si="51"/>
        <v>45327</v>
      </c>
      <c r="D164" s="181">
        <f t="shared" si="51"/>
        <v>45348</v>
      </c>
      <c r="E164" s="191" t="s">
        <v>55</v>
      </c>
      <c r="F164" s="93">
        <v>9</v>
      </c>
      <c r="G164" s="166">
        <v>9</v>
      </c>
      <c r="H164" s="167">
        <f t="shared" si="46"/>
        <v>9.9985597205614507</v>
      </c>
      <c r="I164" s="167">
        <f t="shared" si="44"/>
        <v>10.866487145184125</v>
      </c>
      <c r="J164" s="168">
        <f t="shared" si="47"/>
        <v>97.798384306657127</v>
      </c>
      <c r="K164" s="169">
        <f t="shared" si="41"/>
        <v>89.987037485053051</v>
      </c>
      <c r="L164" s="170">
        <f t="shared" si="52"/>
        <v>7.8113468216040758</v>
      </c>
      <c r="M164" s="171">
        <f t="shared" si="48"/>
        <v>0.62760633907265129</v>
      </c>
      <c r="N164" s="172">
        <f t="shared" si="49"/>
        <v>8.4389531606767267</v>
      </c>
      <c r="O164" s="171">
        <v>0</v>
      </c>
      <c r="P164" s="171">
        <v>0</v>
      </c>
      <c r="Q164" s="171">
        <v>0</v>
      </c>
      <c r="R164" s="172">
        <f t="shared" si="50"/>
        <v>8.4389531606767267</v>
      </c>
    </row>
    <row r="165" spans="1:19" x14ac:dyDescent="0.25">
      <c r="A165" s="129">
        <v>2</v>
      </c>
      <c r="B165" s="164">
        <f t="shared" si="45"/>
        <v>45323</v>
      </c>
      <c r="C165" s="184">
        <f t="shared" si="51"/>
        <v>45356</v>
      </c>
      <c r="D165" s="184">
        <f t="shared" si="51"/>
        <v>45376</v>
      </c>
      <c r="E165" s="192" t="s">
        <v>55</v>
      </c>
      <c r="F165" s="129">
        <v>9</v>
      </c>
      <c r="G165" s="166">
        <v>8</v>
      </c>
      <c r="H165" s="167">
        <f t="shared" si="46"/>
        <v>9.9985597205614507</v>
      </c>
      <c r="I165" s="167">
        <f t="shared" si="44"/>
        <v>10.866487145184125</v>
      </c>
      <c r="J165" s="168">
        <f t="shared" si="47"/>
        <v>86.931897161473003</v>
      </c>
      <c r="K165" s="169">
        <f t="shared" si="41"/>
        <v>79.988477764491606</v>
      </c>
      <c r="L165" s="170">
        <f t="shared" si="52"/>
        <v>6.9434193969813975</v>
      </c>
      <c r="M165" s="171">
        <f t="shared" si="48"/>
        <v>0.55787230139791222</v>
      </c>
      <c r="N165" s="172">
        <f t="shared" si="49"/>
        <v>7.5012916983793101</v>
      </c>
      <c r="O165" s="171">
        <v>0</v>
      </c>
      <c r="P165" s="171">
        <v>0</v>
      </c>
      <c r="Q165" s="171">
        <v>0</v>
      </c>
      <c r="R165" s="172">
        <f t="shared" si="50"/>
        <v>7.5012916983793101</v>
      </c>
    </row>
    <row r="166" spans="1:19" x14ac:dyDescent="0.25">
      <c r="A166" s="129">
        <v>3</v>
      </c>
      <c r="B166" s="164">
        <f t="shared" si="45"/>
        <v>45352</v>
      </c>
      <c r="C166" s="184">
        <f t="shared" si="51"/>
        <v>45385</v>
      </c>
      <c r="D166" s="184">
        <f t="shared" si="51"/>
        <v>45406</v>
      </c>
      <c r="E166" s="192" t="s">
        <v>55</v>
      </c>
      <c r="F166" s="129">
        <v>9</v>
      </c>
      <c r="G166" s="166">
        <v>10</v>
      </c>
      <c r="H166" s="167">
        <f t="shared" si="46"/>
        <v>9.9985597205614507</v>
      </c>
      <c r="I166" s="167">
        <f t="shared" si="44"/>
        <v>10.866487145184125</v>
      </c>
      <c r="J166" s="168">
        <f t="shared" si="47"/>
        <v>108.66487145184125</v>
      </c>
      <c r="K166" s="169">
        <f t="shared" si="41"/>
        <v>99.985597205614511</v>
      </c>
      <c r="L166" s="170">
        <f>+J166-K166</f>
        <v>8.6792742462267398</v>
      </c>
      <c r="M166" s="171">
        <f t="shared" si="48"/>
        <v>0.69734037674739036</v>
      </c>
      <c r="N166" s="172">
        <f t="shared" si="49"/>
        <v>9.376614622974131</v>
      </c>
      <c r="O166" s="171">
        <v>0</v>
      </c>
      <c r="P166" s="171">
        <v>0</v>
      </c>
      <c r="Q166" s="171">
        <v>0</v>
      </c>
      <c r="R166" s="172">
        <f t="shared" si="50"/>
        <v>9.376614622974131</v>
      </c>
    </row>
    <row r="167" spans="1:19" x14ac:dyDescent="0.25">
      <c r="A167" s="93">
        <v>4</v>
      </c>
      <c r="B167" s="164">
        <f t="shared" si="45"/>
        <v>45383</v>
      </c>
      <c r="C167" s="184">
        <f t="shared" si="51"/>
        <v>45415</v>
      </c>
      <c r="D167" s="184">
        <f t="shared" si="51"/>
        <v>45436</v>
      </c>
      <c r="E167" s="192" t="s">
        <v>55</v>
      </c>
      <c r="F167" s="129">
        <v>9</v>
      </c>
      <c r="G167" s="166">
        <v>7</v>
      </c>
      <c r="H167" s="167">
        <f t="shared" si="46"/>
        <v>9.9985597205614507</v>
      </c>
      <c r="I167" s="167">
        <f t="shared" si="44"/>
        <v>10.866487145184125</v>
      </c>
      <c r="J167" s="168">
        <f t="shared" si="47"/>
        <v>76.06541001628888</v>
      </c>
      <c r="K167" s="169">
        <f t="shared" si="41"/>
        <v>69.98991804393016</v>
      </c>
      <c r="L167" s="170">
        <f t="shared" ref="L167:L177" si="53">+J167-K167</f>
        <v>6.0754919723587193</v>
      </c>
      <c r="M167" s="171">
        <f t="shared" si="48"/>
        <v>0.4881382637231732</v>
      </c>
      <c r="N167" s="172">
        <f t="shared" si="49"/>
        <v>6.5636302360818926</v>
      </c>
      <c r="O167" s="171">
        <v>0</v>
      </c>
      <c r="P167" s="171">
        <v>0</v>
      </c>
      <c r="Q167" s="171">
        <v>0</v>
      </c>
      <c r="R167" s="172">
        <f t="shared" si="50"/>
        <v>6.5636302360818926</v>
      </c>
    </row>
    <row r="168" spans="1:19" x14ac:dyDescent="0.25">
      <c r="A168" s="129">
        <v>5</v>
      </c>
      <c r="B168" s="164">
        <f t="shared" si="45"/>
        <v>45413</v>
      </c>
      <c r="C168" s="184">
        <f t="shared" si="51"/>
        <v>45448</v>
      </c>
      <c r="D168" s="184">
        <f t="shared" si="51"/>
        <v>45467</v>
      </c>
      <c r="E168" s="192" t="s">
        <v>55</v>
      </c>
      <c r="F168" s="129">
        <v>9</v>
      </c>
      <c r="G168" s="166">
        <v>10</v>
      </c>
      <c r="H168" s="167">
        <f t="shared" si="46"/>
        <v>9.9985597205614507</v>
      </c>
      <c r="I168" s="167">
        <f t="shared" si="44"/>
        <v>10.866487145184125</v>
      </c>
      <c r="J168" s="168">
        <f t="shared" si="47"/>
        <v>108.66487145184125</v>
      </c>
      <c r="K168" s="169">
        <f t="shared" si="41"/>
        <v>99.985597205614511</v>
      </c>
      <c r="L168" s="170">
        <f t="shared" si="53"/>
        <v>8.6792742462267398</v>
      </c>
      <c r="M168" s="171">
        <f t="shared" si="48"/>
        <v>0.69734037674739036</v>
      </c>
      <c r="N168" s="172">
        <f t="shared" si="49"/>
        <v>9.376614622974131</v>
      </c>
      <c r="O168" s="171">
        <v>0</v>
      </c>
      <c r="P168" s="171">
        <v>0</v>
      </c>
      <c r="Q168" s="171">
        <v>0</v>
      </c>
      <c r="R168" s="172">
        <f t="shared" si="50"/>
        <v>9.376614622974131</v>
      </c>
    </row>
    <row r="169" spans="1:19" x14ac:dyDescent="0.25">
      <c r="A169" s="129">
        <v>6</v>
      </c>
      <c r="B169" s="164">
        <f t="shared" si="45"/>
        <v>45444</v>
      </c>
      <c r="C169" s="184">
        <f t="shared" si="51"/>
        <v>45476</v>
      </c>
      <c r="D169" s="184">
        <f t="shared" si="51"/>
        <v>45497</v>
      </c>
      <c r="E169" s="192" t="s">
        <v>55</v>
      </c>
      <c r="F169" s="129">
        <v>9</v>
      </c>
      <c r="G169" s="166">
        <v>10</v>
      </c>
      <c r="H169" s="167">
        <f t="shared" si="46"/>
        <v>9.9985597205614507</v>
      </c>
      <c r="I169" s="167">
        <f t="shared" si="44"/>
        <v>10.866487145184125</v>
      </c>
      <c r="J169" s="168">
        <f t="shared" si="47"/>
        <v>108.66487145184125</v>
      </c>
      <c r="K169" s="169">
        <f t="shared" si="41"/>
        <v>99.985597205614511</v>
      </c>
      <c r="L169" s="174">
        <f t="shared" si="53"/>
        <v>8.6792742462267398</v>
      </c>
      <c r="M169" s="171">
        <f t="shared" si="48"/>
        <v>0.69734037674739036</v>
      </c>
      <c r="N169" s="172">
        <f t="shared" si="49"/>
        <v>9.376614622974131</v>
      </c>
      <c r="O169" s="171">
        <v>0</v>
      </c>
      <c r="P169" s="171">
        <v>0</v>
      </c>
      <c r="Q169" s="171">
        <v>0</v>
      </c>
      <c r="R169" s="172">
        <f t="shared" si="50"/>
        <v>9.376614622974131</v>
      </c>
    </row>
    <row r="170" spans="1:19" x14ac:dyDescent="0.25">
      <c r="A170" s="93">
        <v>7</v>
      </c>
      <c r="B170" s="164">
        <f t="shared" si="45"/>
        <v>45474</v>
      </c>
      <c r="C170" s="184">
        <f t="shared" si="51"/>
        <v>45509</v>
      </c>
      <c r="D170" s="184">
        <f t="shared" si="51"/>
        <v>45530</v>
      </c>
      <c r="E170" s="192" t="s">
        <v>55</v>
      </c>
      <c r="F170" s="129">
        <v>9</v>
      </c>
      <c r="G170" s="166">
        <v>12</v>
      </c>
      <c r="H170" s="167">
        <f t="shared" si="46"/>
        <v>9.9985597205614507</v>
      </c>
      <c r="I170" s="167">
        <f t="shared" si="44"/>
        <v>10.866487145184125</v>
      </c>
      <c r="J170" s="168">
        <f t="shared" si="47"/>
        <v>130.39784574220951</v>
      </c>
      <c r="K170" s="175">
        <f t="shared" si="41"/>
        <v>119.9827166467374</v>
      </c>
      <c r="L170" s="174">
        <f t="shared" si="53"/>
        <v>10.415129095472111</v>
      </c>
      <c r="M170" s="171">
        <f t="shared" si="48"/>
        <v>0.83680845209686838</v>
      </c>
      <c r="N170" s="172">
        <f t="shared" si="49"/>
        <v>11.251937547568978</v>
      </c>
      <c r="O170" s="171">
        <v>0</v>
      </c>
      <c r="P170" s="171">
        <v>0</v>
      </c>
      <c r="Q170" s="171">
        <v>0</v>
      </c>
      <c r="R170" s="172">
        <f t="shared" si="50"/>
        <v>11.251937547568978</v>
      </c>
    </row>
    <row r="171" spans="1:19" x14ac:dyDescent="0.25">
      <c r="A171" s="129">
        <v>8</v>
      </c>
      <c r="B171" s="164">
        <f t="shared" si="45"/>
        <v>45505</v>
      </c>
      <c r="C171" s="184">
        <f t="shared" si="51"/>
        <v>45539</v>
      </c>
      <c r="D171" s="184">
        <f t="shared" si="51"/>
        <v>45559</v>
      </c>
      <c r="E171" s="192" t="s">
        <v>55</v>
      </c>
      <c r="F171" s="93">
        <v>9</v>
      </c>
      <c r="G171" s="166">
        <v>12</v>
      </c>
      <c r="H171" s="167">
        <f t="shared" si="46"/>
        <v>9.9985597205614507</v>
      </c>
      <c r="I171" s="167">
        <f t="shared" si="44"/>
        <v>10.866487145184125</v>
      </c>
      <c r="J171" s="168">
        <f t="shared" si="47"/>
        <v>130.39784574220951</v>
      </c>
      <c r="K171" s="175">
        <f t="shared" si="41"/>
        <v>119.9827166467374</v>
      </c>
      <c r="L171" s="174">
        <f t="shared" si="53"/>
        <v>10.415129095472111</v>
      </c>
      <c r="M171" s="171">
        <f t="shared" si="48"/>
        <v>0.83680845209686838</v>
      </c>
      <c r="N171" s="172">
        <f t="shared" si="49"/>
        <v>11.251937547568978</v>
      </c>
      <c r="O171" s="171">
        <v>0</v>
      </c>
      <c r="P171" s="171">
        <v>0</v>
      </c>
      <c r="Q171" s="171">
        <v>0</v>
      </c>
      <c r="R171" s="172">
        <f t="shared" si="50"/>
        <v>11.251937547568978</v>
      </c>
      <c r="S171" s="50"/>
    </row>
    <row r="172" spans="1:19" x14ac:dyDescent="0.25">
      <c r="A172" s="129">
        <v>9</v>
      </c>
      <c r="B172" s="164">
        <f t="shared" si="45"/>
        <v>45536</v>
      </c>
      <c r="C172" s="184">
        <f t="shared" ref="C172:D175" si="54">+C160</f>
        <v>45568</v>
      </c>
      <c r="D172" s="184">
        <f t="shared" si="54"/>
        <v>45589</v>
      </c>
      <c r="E172" s="192" t="s">
        <v>55</v>
      </c>
      <c r="F172" s="93">
        <v>9</v>
      </c>
      <c r="G172" s="166">
        <v>11</v>
      </c>
      <c r="H172" s="167">
        <f t="shared" si="46"/>
        <v>9.9985597205614507</v>
      </c>
      <c r="I172" s="167">
        <f t="shared" si="44"/>
        <v>10.866487145184125</v>
      </c>
      <c r="J172" s="168">
        <f t="shared" si="47"/>
        <v>119.53135859702537</v>
      </c>
      <c r="K172" s="175">
        <f t="shared" si="41"/>
        <v>109.98415692617596</v>
      </c>
      <c r="L172" s="174">
        <f t="shared" si="53"/>
        <v>9.5472016708494181</v>
      </c>
      <c r="M172" s="171">
        <f t="shared" si="48"/>
        <v>0.76707441442212931</v>
      </c>
      <c r="N172" s="172">
        <f t="shared" si="49"/>
        <v>10.314276085271548</v>
      </c>
      <c r="O172" s="171">
        <v>0</v>
      </c>
      <c r="P172" s="171">
        <v>0</v>
      </c>
      <c r="Q172" s="171">
        <v>0</v>
      </c>
      <c r="R172" s="172">
        <f t="shared" si="50"/>
        <v>10.314276085271548</v>
      </c>
    </row>
    <row r="173" spans="1:19" x14ac:dyDescent="0.25">
      <c r="A173" s="93">
        <v>10</v>
      </c>
      <c r="B173" s="164">
        <f t="shared" si="45"/>
        <v>45566</v>
      </c>
      <c r="C173" s="184">
        <f t="shared" si="54"/>
        <v>45601</v>
      </c>
      <c r="D173" s="184">
        <f t="shared" si="54"/>
        <v>45621</v>
      </c>
      <c r="E173" s="192" t="s">
        <v>55</v>
      </c>
      <c r="F173" s="93">
        <v>9</v>
      </c>
      <c r="G173" s="166">
        <v>10</v>
      </c>
      <c r="H173" s="167">
        <f t="shared" si="46"/>
        <v>9.9985597205614507</v>
      </c>
      <c r="I173" s="167">
        <f t="shared" si="44"/>
        <v>10.866487145184125</v>
      </c>
      <c r="J173" s="168">
        <f t="shared" si="47"/>
        <v>108.66487145184125</v>
      </c>
      <c r="K173" s="175">
        <f t="shared" si="41"/>
        <v>99.985597205614511</v>
      </c>
      <c r="L173" s="174">
        <f t="shared" si="53"/>
        <v>8.6792742462267398</v>
      </c>
      <c r="M173" s="171">
        <f t="shared" si="48"/>
        <v>0.69734037674739036</v>
      </c>
      <c r="N173" s="172">
        <f t="shared" si="49"/>
        <v>9.376614622974131</v>
      </c>
      <c r="O173" s="171">
        <v>0</v>
      </c>
      <c r="P173" s="171">
        <v>0</v>
      </c>
      <c r="Q173" s="171">
        <v>0</v>
      </c>
      <c r="R173" s="172">
        <f t="shared" si="50"/>
        <v>9.376614622974131</v>
      </c>
    </row>
    <row r="174" spans="1:19" x14ac:dyDescent="0.25">
      <c r="A174" s="129">
        <v>11</v>
      </c>
      <c r="B174" s="164">
        <f t="shared" si="45"/>
        <v>45597</v>
      </c>
      <c r="C174" s="184">
        <f t="shared" si="54"/>
        <v>45630</v>
      </c>
      <c r="D174" s="184">
        <f t="shared" si="54"/>
        <v>45650</v>
      </c>
      <c r="E174" s="192" t="s">
        <v>55</v>
      </c>
      <c r="F174" s="93">
        <v>9</v>
      </c>
      <c r="G174" s="166">
        <v>10</v>
      </c>
      <c r="H174" s="167">
        <f t="shared" si="46"/>
        <v>9.9985597205614507</v>
      </c>
      <c r="I174" s="167">
        <f t="shared" si="44"/>
        <v>10.866487145184125</v>
      </c>
      <c r="J174" s="168">
        <f t="shared" si="47"/>
        <v>108.66487145184125</v>
      </c>
      <c r="K174" s="175">
        <f t="shared" si="41"/>
        <v>99.985597205614511</v>
      </c>
      <c r="L174" s="174">
        <f t="shared" si="53"/>
        <v>8.6792742462267398</v>
      </c>
      <c r="M174" s="171">
        <f t="shared" si="48"/>
        <v>0.69734037674739036</v>
      </c>
      <c r="N174" s="172">
        <f t="shared" si="49"/>
        <v>9.376614622974131</v>
      </c>
      <c r="O174" s="171">
        <v>0</v>
      </c>
      <c r="P174" s="171">
        <v>0</v>
      </c>
      <c r="Q174" s="171">
        <v>0</v>
      </c>
      <c r="R174" s="172">
        <f t="shared" si="50"/>
        <v>9.376614622974131</v>
      </c>
    </row>
    <row r="175" spans="1:19" s="188" customFormat="1" x14ac:dyDescent="0.25">
      <c r="A175" s="129">
        <v>12</v>
      </c>
      <c r="B175" s="186">
        <f t="shared" si="45"/>
        <v>45627</v>
      </c>
      <c r="C175" s="184">
        <f t="shared" si="54"/>
        <v>45660</v>
      </c>
      <c r="D175" s="184">
        <f t="shared" si="54"/>
        <v>45681</v>
      </c>
      <c r="E175" s="193" t="s">
        <v>55</v>
      </c>
      <c r="F175" s="140">
        <v>9</v>
      </c>
      <c r="G175" s="166">
        <v>10</v>
      </c>
      <c r="H175" s="176">
        <f t="shared" si="46"/>
        <v>9.9985597205614507</v>
      </c>
      <c r="I175" s="176">
        <f t="shared" si="44"/>
        <v>10.866487145184125</v>
      </c>
      <c r="J175" s="177">
        <f t="shared" si="47"/>
        <v>108.66487145184125</v>
      </c>
      <c r="K175" s="178">
        <f t="shared" si="41"/>
        <v>99.985597205614511</v>
      </c>
      <c r="L175" s="179">
        <f t="shared" si="53"/>
        <v>8.6792742462267398</v>
      </c>
      <c r="M175" s="171">
        <f t="shared" si="48"/>
        <v>0.69734037674739036</v>
      </c>
      <c r="N175" s="172">
        <f t="shared" si="49"/>
        <v>9.376614622974131</v>
      </c>
      <c r="O175" s="171">
        <v>0</v>
      </c>
      <c r="P175" s="171">
        <v>0</v>
      </c>
      <c r="Q175" s="171">
        <v>0</v>
      </c>
      <c r="R175" s="172">
        <f t="shared" si="50"/>
        <v>9.376614622974131</v>
      </c>
    </row>
    <row r="176" spans="1:19" x14ac:dyDescent="0.25">
      <c r="A176" s="93">
        <v>1</v>
      </c>
      <c r="B176" s="164">
        <f t="shared" si="45"/>
        <v>45292</v>
      </c>
      <c r="C176" s="181">
        <f t="shared" ref="C176:D187" si="55">+C152</f>
        <v>45327</v>
      </c>
      <c r="D176" s="181">
        <f t="shared" si="55"/>
        <v>45348</v>
      </c>
      <c r="E176" s="191" t="s">
        <v>56</v>
      </c>
      <c r="F176" s="129">
        <v>9</v>
      </c>
      <c r="G176" s="166">
        <v>26</v>
      </c>
      <c r="H176" s="167">
        <f t="shared" si="46"/>
        <v>9.9985597205614507</v>
      </c>
      <c r="I176" s="167">
        <f t="shared" si="44"/>
        <v>10.866487145184125</v>
      </c>
      <c r="J176" s="168">
        <f t="shared" si="47"/>
        <v>282.52866577478727</v>
      </c>
      <c r="K176" s="169">
        <f t="shared" si="41"/>
        <v>259.96255273459769</v>
      </c>
      <c r="L176" s="170">
        <f t="shared" si="53"/>
        <v>22.566113040189578</v>
      </c>
      <c r="M176" s="171">
        <f t="shared" si="48"/>
        <v>1.8130849795432147</v>
      </c>
      <c r="N176" s="172">
        <f t="shared" si="49"/>
        <v>24.379198019732794</v>
      </c>
      <c r="O176" s="171">
        <v>0</v>
      </c>
      <c r="P176" s="171">
        <v>0</v>
      </c>
      <c r="Q176" s="171">
        <v>0</v>
      </c>
      <c r="R176" s="172">
        <f t="shared" si="50"/>
        <v>24.379198019732794</v>
      </c>
    </row>
    <row r="177" spans="1:18" x14ac:dyDescent="0.25">
      <c r="A177" s="129">
        <v>2</v>
      </c>
      <c r="B177" s="164">
        <f t="shared" si="45"/>
        <v>45323</v>
      </c>
      <c r="C177" s="184">
        <f t="shared" si="55"/>
        <v>45356</v>
      </c>
      <c r="D177" s="184">
        <f t="shared" si="55"/>
        <v>45376</v>
      </c>
      <c r="E177" s="52" t="s">
        <v>56</v>
      </c>
      <c r="F177" s="129">
        <v>9</v>
      </c>
      <c r="G177" s="166">
        <v>19</v>
      </c>
      <c r="H177" s="167">
        <f t="shared" si="46"/>
        <v>9.9985597205614507</v>
      </c>
      <c r="I177" s="167">
        <f t="shared" si="44"/>
        <v>10.866487145184125</v>
      </c>
      <c r="J177" s="168">
        <f t="shared" si="47"/>
        <v>206.46325575849838</v>
      </c>
      <c r="K177" s="169">
        <f t="shared" si="41"/>
        <v>189.97263469066758</v>
      </c>
      <c r="L177" s="170">
        <f t="shared" si="53"/>
        <v>16.490621067830801</v>
      </c>
      <c r="M177" s="171">
        <f t="shared" si="48"/>
        <v>1.3249467158200416</v>
      </c>
      <c r="N177" s="172">
        <f t="shared" si="49"/>
        <v>17.815567783650842</v>
      </c>
      <c r="O177" s="171">
        <v>0</v>
      </c>
      <c r="P177" s="171">
        <v>0</v>
      </c>
      <c r="Q177" s="171">
        <v>0</v>
      </c>
      <c r="R177" s="172">
        <f t="shared" si="50"/>
        <v>17.815567783650842</v>
      </c>
    </row>
    <row r="178" spans="1:18" x14ac:dyDescent="0.25">
      <c r="A178" s="129">
        <v>3</v>
      </c>
      <c r="B178" s="164">
        <f t="shared" si="45"/>
        <v>45352</v>
      </c>
      <c r="C178" s="184">
        <f t="shared" si="55"/>
        <v>45385</v>
      </c>
      <c r="D178" s="184">
        <f t="shared" si="55"/>
        <v>45406</v>
      </c>
      <c r="E178" s="52" t="s">
        <v>56</v>
      </c>
      <c r="F178" s="129">
        <v>9</v>
      </c>
      <c r="G178" s="166">
        <v>18</v>
      </c>
      <c r="H178" s="167">
        <f t="shared" si="46"/>
        <v>9.9985597205614507</v>
      </c>
      <c r="I178" s="167">
        <f t="shared" si="44"/>
        <v>10.866487145184125</v>
      </c>
      <c r="J178" s="168">
        <f t="shared" si="47"/>
        <v>195.59676861331425</v>
      </c>
      <c r="K178" s="169">
        <f t="shared" si="41"/>
        <v>179.9740749701061</v>
      </c>
      <c r="L178" s="170">
        <f>+J178-K178</f>
        <v>15.622693643208152</v>
      </c>
      <c r="M178" s="171">
        <f t="shared" si="48"/>
        <v>1.2552126781453026</v>
      </c>
      <c r="N178" s="172">
        <f t="shared" si="49"/>
        <v>16.877906321353453</v>
      </c>
      <c r="O178" s="171">
        <v>0</v>
      </c>
      <c r="P178" s="171">
        <v>0</v>
      </c>
      <c r="Q178" s="171">
        <v>0</v>
      </c>
      <c r="R178" s="172">
        <f t="shared" si="50"/>
        <v>16.877906321353453</v>
      </c>
    </row>
    <row r="179" spans="1:18" x14ac:dyDescent="0.25">
      <c r="A179" s="93">
        <v>4</v>
      </c>
      <c r="B179" s="164">
        <f t="shared" si="45"/>
        <v>45383</v>
      </c>
      <c r="C179" s="184">
        <f t="shared" si="55"/>
        <v>45415</v>
      </c>
      <c r="D179" s="184">
        <f t="shared" si="55"/>
        <v>45436</v>
      </c>
      <c r="E179" s="52" t="s">
        <v>56</v>
      </c>
      <c r="F179" s="129">
        <v>9</v>
      </c>
      <c r="G179" s="166">
        <v>22</v>
      </c>
      <c r="H179" s="167">
        <f t="shared" si="46"/>
        <v>9.9985597205614507</v>
      </c>
      <c r="I179" s="167">
        <f t="shared" si="44"/>
        <v>10.866487145184125</v>
      </c>
      <c r="J179" s="168">
        <f t="shared" si="47"/>
        <v>239.06271719405075</v>
      </c>
      <c r="K179" s="169">
        <f t="shared" si="41"/>
        <v>219.96831385235191</v>
      </c>
      <c r="L179" s="170">
        <f t="shared" ref="L179:L189" si="56">+J179-K179</f>
        <v>19.094403341698836</v>
      </c>
      <c r="M179" s="171">
        <f t="shared" si="48"/>
        <v>1.5341488288442586</v>
      </c>
      <c r="N179" s="172">
        <f t="shared" si="49"/>
        <v>20.628552170543095</v>
      </c>
      <c r="O179" s="171">
        <v>0</v>
      </c>
      <c r="P179" s="171">
        <v>0</v>
      </c>
      <c r="Q179" s="171">
        <v>0</v>
      </c>
      <c r="R179" s="172">
        <f t="shared" si="50"/>
        <v>20.628552170543095</v>
      </c>
    </row>
    <row r="180" spans="1:18" x14ac:dyDescent="0.25">
      <c r="A180" s="129">
        <v>5</v>
      </c>
      <c r="B180" s="164">
        <f t="shared" si="45"/>
        <v>45413</v>
      </c>
      <c r="C180" s="184">
        <f t="shared" si="55"/>
        <v>45448</v>
      </c>
      <c r="D180" s="184">
        <f t="shared" si="55"/>
        <v>45467</v>
      </c>
      <c r="E180" s="52" t="s">
        <v>56</v>
      </c>
      <c r="F180" s="129">
        <v>9</v>
      </c>
      <c r="G180" s="166">
        <v>31</v>
      </c>
      <c r="H180" s="167">
        <f t="shared" si="46"/>
        <v>9.9985597205614507</v>
      </c>
      <c r="I180" s="167">
        <f t="shared" ref="I180:I211" si="57">$J$3</f>
        <v>10.866487145184125</v>
      </c>
      <c r="J180" s="168">
        <f t="shared" si="47"/>
        <v>336.86110150070789</v>
      </c>
      <c r="K180" s="169">
        <f t="shared" si="41"/>
        <v>309.95535133740498</v>
      </c>
      <c r="L180" s="170">
        <f t="shared" si="56"/>
        <v>26.905750163302912</v>
      </c>
      <c r="M180" s="171">
        <f t="shared" si="48"/>
        <v>2.16175516791691</v>
      </c>
      <c r="N180" s="172">
        <f t="shared" si="49"/>
        <v>29.06750533121982</v>
      </c>
      <c r="O180" s="171">
        <v>0</v>
      </c>
      <c r="P180" s="171">
        <v>0</v>
      </c>
      <c r="Q180" s="171">
        <v>0</v>
      </c>
      <c r="R180" s="172">
        <f t="shared" si="50"/>
        <v>29.06750533121982</v>
      </c>
    </row>
    <row r="181" spans="1:18" x14ac:dyDescent="0.25">
      <c r="A181" s="129">
        <v>6</v>
      </c>
      <c r="B181" s="164">
        <f t="shared" si="45"/>
        <v>45444</v>
      </c>
      <c r="C181" s="184">
        <f t="shared" si="55"/>
        <v>45476</v>
      </c>
      <c r="D181" s="184">
        <f t="shared" si="55"/>
        <v>45497</v>
      </c>
      <c r="E181" s="52" t="s">
        <v>56</v>
      </c>
      <c r="F181" s="129">
        <v>9</v>
      </c>
      <c r="G181" s="166">
        <v>36</v>
      </c>
      <c r="H181" s="167">
        <f t="shared" si="46"/>
        <v>9.9985597205614507</v>
      </c>
      <c r="I181" s="167">
        <f t="shared" si="57"/>
        <v>10.866487145184125</v>
      </c>
      <c r="J181" s="168">
        <f t="shared" si="47"/>
        <v>391.19353722662851</v>
      </c>
      <c r="K181" s="169">
        <f t="shared" si="41"/>
        <v>359.9481499402122</v>
      </c>
      <c r="L181" s="174">
        <f t="shared" si="56"/>
        <v>31.245387286416303</v>
      </c>
      <c r="M181" s="171">
        <f t="shared" si="48"/>
        <v>2.5104253562906051</v>
      </c>
      <c r="N181" s="172">
        <f t="shared" si="49"/>
        <v>33.755812642706907</v>
      </c>
      <c r="O181" s="171">
        <v>0</v>
      </c>
      <c r="P181" s="171">
        <v>0</v>
      </c>
      <c r="Q181" s="171">
        <v>0</v>
      </c>
      <c r="R181" s="172">
        <f t="shared" si="50"/>
        <v>33.755812642706907</v>
      </c>
    </row>
    <row r="182" spans="1:18" x14ac:dyDescent="0.25">
      <c r="A182" s="93">
        <v>7</v>
      </c>
      <c r="B182" s="164">
        <f t="shared" si="45"/>
        <v>45474</v>
      </c>
      <c r="C182" s="184">
        <f t="shared" si="55"/>
        <v>45509</v>
      </c>
      <c r="D182" s="184">
        <f t="shared" si="55"/>
        <v>45530</v>
      </c>
      <c r="E182" s="52" t="s">
        <v>56</v>
      </c>
      <c r="F182" s="129">
        <v>9</v>
      </c>
      <c r="G182" s="166">
        <v>38</v>
      </c>
      <c r="H182" s="167">
        <f t="shared" si="46"/>
        <v>9.9985597205614507</v>
      </c>
      <c r="I182" s="167">
        <f t="shared" si="57"/>
        <v>10.866487145184125</v>
      </c>
      <c r="J182" s="168">
        <f t="shared" si="47"/>
        <v>412.92651151699675</v>
      </c>
      <c r="K182" s="175">
        <f t="shared" si="41"/>
        <v>379.94526938133515</v>
      </c>
      <c r="L182" s="174">
        <f t="shared" si="56"/>
        <v>32.981242135661603</v>
      </c>
      <c r="M182" s="171">
        <f t="shared" si="48"/>
        <v>2.6498934316400833</v>
      </c>
      <c r="N182" s="172">
        <f t="shared" si="49"/>
        <v>35.631135567301683</v>
      </c>
      <c r="O182" s="171">
        <v>0</v>
      </c>
      <c r="P182" s="171">
        <v>0</v>
      </c>
      <c r="Q182" s="171">
        <v>0</v>
      </c>
      <c r="R182" s="172">
        <f t="shared" si="50"/>
        <v>35.631135567301683</v>
      </c>
    </row>
    <row r="183" spans="1:18" x14ac:dyDescent="0.25">
      <c r="A183" s="129">
        <v>8</v>
      </c>
      <c r="B183" s="164">
        <f t="shared" si="45"/>
        <v>45505</v>
      </c>
      <c r="C183" s="184">
        <f t="shared" si="55"/>
        <v>45539</v>
      </c>
      <c r="D183" s="184">
        <f t="shared" si="55"/>
        <v>45559</v>
      </c>
      <c r="E183" s="52" t="s">
        <v>56</v>
      </c>
      <c r="F183" s="129">
        <v>9</v>
      </c>
      <c r="G183" s="166">
        <v>41</v>
      </c>
      <c r="H183" s="167">
        <f t="shared" si="46"/>
        <v>9.9985597205614507</v>
      </c>
      <c r="I183" s="167">
        <f t="shared" si="57"/>
        <v>10.866487145184125</v>
      </c>
      <c r="J183" s="168">
        <f t="shared" si="47"/>
        <v>445.52597295254913</v>
      </c>
      <c r="K183" s="175">
        <f t="shared" si="41"/>
        <v>409.94094854301949</v>
      </c>
      <c r="L183" s="174">
        <f t="shared" si="56"/>
        <v>35.585024409529638</v>
      </c>
      <c r="M183" s="171">
        <f t="shared" si="48"/>
        <v>2.8590955446643003</v>
      </c>
      <c r="N183" s="172">
        <f t="shared" si="49"/>
        <v>38.444119954193937</v>
      </c>
      <c r="O183" s="171">
        <v>0</v>
      </c>
      <c r="P183" s="171">
        <v>0</v>
      </c>
      <c r="Q183" s="171">
        <v>0</v>
      </c>
      <c r="R183" s="172">
        <f t="shared" si="50"/>
        <v>38.444119954193937</v>
      </c>
    </row>
    <row r="184" spans="1:18" x14ac:dyDescent="0.25">
      <c r="A184" s="129">
        <v>9</v>
      </c>
      <c r="B184" s="164">
        <f t="shared" si="45"/>
        <v>45536</v>
      </c>
      <c r="C184" s="184">
        <f t="shared" si="55"/>
        <v>45568</v>
      </c>
      <c r="D184" s="184">
        <f t="shared" si="55"/>
        <v>45589</v>
      </c>
      <c r="E184" s="52" t="s">
        <v>56</v>
      </c>
      <c r="F184" s="129">
        <v>9</v>
      </c>
      <c r="G184" s="166">
        <v>29</v>
      </c>
      <c r="H184" s="167">
        <f t="shared" si="46"/>
        <v>9.9985597205614507</v>
      </c>
      <c r="I184" s="167">
        <f t="shared" si="57"/>
        <v>10.866487145184125</v>
      </c>
      <c r="J184" s="168">
        <f t="shared" si="47"/>
        <v>315.12812721033964</v>
      </c>
      <c r="K184" s="175">
        <f t="shared" si="41"/>
        <v>289.95823189628209</v>
      </c>
      <c r="L184" s="174">
        <f t="shared" si="56"/>
        <v>25.169895314057555</v>
      </c>
      <c r="M184" s="171">
        <f t="shared" si="48"/>
        <v>2.0222870925674319</v>
      </c>
      <c r="N184" s="172">
        <f t="shared" si="49"/>
        <v>27.192182406624987</v>
      </c>
      <c r="O184" s="171">
        <v>0</v>
      </c>
      <c r="P184" s="171">
        <v>0</v>
      </c>
      <c r="Q184" s="171">
        <v>0</v>
      </c>
      <c r="R184" s="172">
        <f t="shared" si="50"/>
        <v>27.192182406624987</v>
      </c>
    </row>
    <row r="185" spans="1:18" x14ac:dyDescent="0.25">
      <c r="A185" s="93">
        <v>10</v>
      </c>
      <c r="B185" s="164">
        <f t="shared" si="45"/>
        <v>45566</v>
      </c>
      <c r="C185" s="184">
        <f t="shared" si="55"/>
        <v>45601</v>
      </c>
      <c r="D185" s="184">
        <f t="shared" si="55"/>
        <v>45621</v>
      </c>
      <c r="E185" s="52" t="s">
        <v>56</v>
      </c>
      <c r="F185" s="129">
        <v>9</v>
      </c>
      <c r="G185" s="166">
        <v>26</v>
      </c>
      <c r="H185" s="167">
        <f t="shared" si="46"/>
        <v>9.9985597205614507</v>
      </c>
      <c r="I185" s="167">
        <f t="shared" si="57"/>
        <v>10.866487145184125</v>
      </c>
      <c r="J185" s="168">
        <f t="shared" si="47"/>
        <v>282.52866577478727</v>
      </c>
      <c r="K185" s="175">
        <f t="shared" si="41"/>
        <v>259.96255273459769</v>
      </c>
      <c r="L185" s="174">
        <f t="shared" si="56"/>
        <v>22.566113040189578</v>
      </c>
      <c r="M185" s="171">
        <f t="shared" si="48"/>
        <v>1.8130849795432147</v>
      </c>
      <c r="N185" s="172">
        <f t="shared" si="49"/>
        <v>24.379198019732794</v>
      </c>
      <c r="O185" s="171">
        <v>0</v>
      </c>
      <c r="P185" s="171">
        <v>0</v>
      </c>
      <c r="Q185" s="171">
        <v>0</v>
      </c>
      <c r="R185" s="172">
        <f t="shared" si="50"/>
        <v>24.379198019732794</v>
      </c>
    </row>
    <row r="186" spans="1:18" x14ac:dyDescent="0.25">
      <c r="A186" s="129">
        <v>11</v>
      </c>
      <c r="B186" s="164">
        <f t="shared" si="45"/>
        <v>45597</v>
      </c>
      <c r="C186" s="184">
        <f t="shared" si="55"/>
        <v>45630</v>
      </c>
      <c r="D186" s="184">
        <f t="shared" si="55"/>
        <v>45650</v>
      </c>
      <c r="E186" s="52" t="s">
        <v>56</v>
      </c>
      <c r="F186" s="129">
        <v>9</v>
      </c>
      <c r="G186" s="166">
        <v>22</v>
      </c>
      <c r="H186" s="167">
        <f t="shared" si="46"/>
        <v>9.9985597205614507</v>
      </c>
      <c r="I186" s="167">
        <f t="shared" si="57"/>
        <v>10.866487145184125</v>
      </c>
      <c r="J186" s="168">
        <f t="shared" si="47"/>
        <v>239.06271719405075</v>
      </c>
      <c r="K186" s="175">
        <f t="shared" si="41"/>
        <v>219.96831385235191</v>
      </c>
      <c r="L186" s="174">
        <f t="shared" si="56"/>
        <v>19.094403341698836</v>
      </c>
      <c r="M186" s="171">
        <f t="shared" si="48"/>
        <v>1.5341488288442586</v>
      </c>
      <c r="N186" s="172">
        <f t="shared" si="49"/>
        <v>20.628552170543095</v>
      </c>
      <c r="O186" s="171">
        <v>0</v>
      </c>
      <c r="P186" s="171">
        <v>0</v>
      </c>
      <c r="Q186" s="171">
        <v>0</v>
      </c>
      <c r="R186" s="172">
        <f t="shared" si="50"/>
        <v>20.628552170543095</v>
      </c>
    </row>
    <row r="187" spans="1:18" s="188" customFormat="1" x14ac:dyDescent="0.25">
      <c r="A187" s="129">
        <v>12</v>
      </c>
      <c r="B187" s="186">
        <f t="shared" si="45"/>
        <v>45627</v>
      </c>
      <c r="C187" s="184">
        <f t="shared" si="55"/>
        <v>45660</v>
      </c>
      <c r="D187" s="184">
        <f t="shared" si="55"/>
        <v>45681</v>
      </c>
      <c r="E187" s="187" t="s">
        <v>56</v>
      </c>
      <c r="F187" s="140">
        <v>9</v>
      </c>
      <c r="G187" s="166">
        <v>18</v>
      </c>
      <c r="H187" s="176">
        <f t="shared" si="46"/>
        <v>9.9985597205614507</v>
      </c>
      <c r="I187" s="176">
        <f t="shared" si="57"/>
        <v>10.866487145184125</v>
      </c>
      <c r="J187" s="177">
        <f t="shared" si="47"/>
        <v>195.59676861331425</v>
      </c>
      <c r="K187" s="178">
        <f t="shared" si="41"/>
        <v>179.9740749701061</v>
      </c>
      <c r="L187" s="179">
        <f t="shared" si="56"/>
        <v>15.622693643208152</v>
      </c>
      <c r="M187" s="171">
        <f t="shared" si="48"/>
        <v>1.2552126781453026</v>
      </c>
      <c r="N187" s="172">
        <f t="shared" si="49"/>
        <v>16.877906321353453</v>
      </c>
      <c r="O187" s="171">
        <v>0</v>
      </c>
      <c r="P187" s="171">
        <v>0</v>
      </c>
      <c r="Q187" s="171">
        <v>0</v>
      </c>
      <c r="R187" s="172">
        <f t="shared" si="50"/>
        <v>16.877906321353453</v>
      </c>
    </row>
    <row r="188" spans="1:18" x14ac:dyDescent="0.25">
      <c r="A188" s="93">
        <v>1</v>
      </c>
      <c r="B188" s="164">
        <f t="shared" si="45"/>
        <v>45292</v>
      </c>
      <c r="C188" s="181">
        <f t="shared" ref="C188:D211" si="58">+C176</f>
        <v>45327</v>
      </c>
      <c r="D188" s="181">
        <f t="shared" si="58"/>
        <v>45348</v>
      </c>
      <c r="E188" s="165" t="s">
        <v>57</v>
      </c>
      <c r="F188" s="93">
        <v>9</v>
      </c>
      <c r="G188" s="166">
        <v>34</v>
      </c>
      <c r="H188" s="167">
        <f t="shared" si="46"/>
        <v>9.9985597205614507</v>
      </c>
      <c r="I188" s="167">
        <f t="shared" si="57"/>
        <v>10.866487145184125</v>
      </c>
      <c r="J188" s="168">
        <f t="shared" si="47"/>
        <v>369.46056293626026</v>
      </c>
      <c r="K188" s="169">
        <f t="shared" si="41"/>
        <v>339.95103049908931</v>
      </c>
      <c r="L188" s="170">
        <f t="shared" si="56"/>
        <v>29.509532437170947</v>
      </c>
      <c r="M188" s="171">
        <f t="shared" si="48"/>
        <v>2.370957280941127</v>
      </c>
      <c r="N188" s="172">
        <f t="shared" si="49"/>
        <v>31.880489718112074</v>
      </c>
      <c r="O188" s="171">
        <v>0</v>
      </c>
      <c r="P188" s="171">
        <v>0</v>
      </c>
      <c r="Q188" s="171">
        <v>0</v>
      </c>
      <c r="R188" s="172">
        <f t="shared" si="50"/>
        <v>31.880489718112074</v>
      </c>
    </row>
    <row r="189" spans="1:18" x14ac:dyDescent="0.25">
      <c r="A189" s="129">
        <v>2</v>
      </c>
      <c r="B189" s="164">
        <f t="shared" si="45"/>
        <v>45323</v>
      </c>
      <c r="C189" s="184">
        <f t="shared" si="58"/>
        <v>45356</v>
      </c>
      <c r="D189" s="184">
        <f t="shared" si="58"/>
        <v>45376</v>
      </c>
      <c r="E189" s="173" t="s">
        <v>57</v>
      </c>
      <c r="F189" s="129">
        <v>9</v>
      </c>
      <c r="G189" s="166">
        <v>32</v>
      </c>
      <c r="H189" s="167">
        <f t="shared" si="46"/>
        <v>9.9985597205614507</v>
      </c>
      <c r="I189" s="167">
        <f t="shared" si="57"/>
        <v>10.866487145184125</v>
      </c>
      <c r="J189" s="168">
        <f t="shared" si="47"/>
        <v>347.72758864589201</v>
      </c>
      <c r="K189" s="169">
        <f t="shared" si="41"/>
        <v>319.95391105796642</v>
      </c>
      <c r="L189" s="170">
        <f t="shared" si="56"/>
        <v>27.77367758792559</v>
      </c>
      <c r="M189" s="171">
        <f t="shared" si="48"/>
        <v>2.2314892055916489</v>
      </c>
      <c r="N189" s="172">
        <f t="shared" si="49"/>
        <v>30.00516679351724</v>
      </c>
      <c r="O189" s="171">
        <v>0</v>
      </c>
      <c r="P189" s="171">
        <v>0</v>
      </c>
      <c r="Q189" s="171">
        <v>0</v>
      </c>
      <c r="R189" s="172">
        <f t="shared" si="50"/>
        <v>30.00516679351724</v>
      </c>
    </row>
    <row r="190" spans="1:18" x14ac:dyDescent="0.25">
      <c r="A190" s="129">
        <v>3</v>
      </c>
      <c r="B190" s="164">
        <f t="shared" si="45"/>
        <v>45352</v>
      </c>
      <c r="C190" s="184">
        <f t="shared" si="58"/>
        <v>45385</v>
      </c>
      <c r="D190" s="184">
        <f t="shared" si="58"/>
        <v>45406</v>
      </c>
      <c r="E190" s="173" t="s">
        <v>57</v>
      </c>
      <c r="F190" s="129">
        <v>9</v>
      </c>
      <c r="G190" s="166">
        <v>32</v>
      </c>
      <c r="H190" s="167">
        <f t="shared" si="46"/>
        <v>9.9985597205614507</v>
      </c>
      <c r="I190" s="167">
        <f t="shared" si="57"/>
        <v>10.866487145184125</v>
      </c>
      <c r="J190" s="168">
        <f t="shared" si="47"/>
        <v>347.72758864589201</v>
      </c>
      <c r="K190" s="169">
        <f t="shared" si="41"/>
        <v>319.95391105796642</v>
      </c>
      <c r="L190" s="170">
        <f>+J190-K190</f>
        <v>27.77367758792559</v>
      </c>
      <c r="M190" s="171">
        <f t="shared" si="48"/>
        <v>2.2314892055916489</v>
      </c>
      <c r="N190" s="172">
        <f t="shared" si="49"/>
        <v>30.00516679351724</v>
      </c>
      <c r="O190" s="171">
        <v>0</v>
      </c>
      <c r="P190" s="171">
        <v>0</v>
      </c>
      <c r="Q190" s="171">
        <v>0</v>
      </c>
      <c r="R190" s="172">
        <f t="shared" si="50"/>
        <v>30.00516679351724</v>
      </c>
    </row>
    <row r="191" spans="1:18" x14ac:dyDescent="0.25">
      <c r="A191" s="93">
        <v>4</v>
      </c>
      <c r="B191" s="164">
        <f t="shared" si="45"/>
        <v>45383</v>
      </c>
      <c r="C191" s="184">
        <f t="shared" si="58"/>
        <v>45415</v>
      </c>
      <c r="D191" s="184">
        <f t="shared" si="58"/>
        <v>45436</v>
      </c>
      <c r="E191" s="52" t="s">
        <v>57</v>
      </c>
      <c r="F191" s="129">
        <v>9</v>
      </c>
      <c r="G191" s="166">
        <v>33</v>
      </c>
      <c r="H191" s="167">
        <f t="shared" si="46"/>
        <v>9.9985597205614507</v>
      </c>
      <c r="I191" s="167">
        <f t="shared" si="57"/>
        <v>10.866487145184125</v>
      </c>
      <c r="J191" s="168">
        <f t="shared" si="47"/>
        <v>358.59407579107614</v>
      </c>
      <c r="K191" s="169">
        <f t="shared" si="41"/>
        <v>329.95247077852787</v>
      </c>
      <c r="L191" s="170">
        <f t="shared" ref="L191:L201" si="59">+J191-K191</f>
        <v>28.641605012548268</v>
      </c>
      <c r="M191" s="171">
        <f t="shared" si="48"/>
        <v>2.3012232432663877</v>
      </c>
      <c r="N191" s="172">
        <f t="shared" si="49"/>
        <v>30.942828255814657</v>
      </c>
      <c r="O191" s="171">
        <v>0</v>
      </c>
      <c r="P191" s="171">
        <v>0</v>
      </c>
      <c r="Q191" s="171">
        <v>0</v>
      </c>
      <c r="R191" s="172">
        <f t="shared" si="50"/>
        <v>30.942828255814657</v>
      </c>
    </row>
    <row r="192" spans="1:18" x14ac:dyDescent="0.25">
      <c r="A192" s="129">
        <v>5</v>
      </c>
      <c r="B192" s="164">
        <f t="shared" si="45"/>
        <v>45413</v>
      </c>
      <c r="C192" s="184">
        <f t="shared" si="58"/>
        <v>45448</v>
      </c>
      <c r="D192" s="184">
        <f t="shared" si="58"/>
        <v>45467</v>
      </c>
      <c r="E192" s="52" t="s">
        <v>57</v>
      </c>
      <c r="F192" s="129">
        <v>9</v>
      </c>
      <c r="G192" s="166">
        <v>40</v>
      </c>
      <c r="H192" s="167">
        <f t="shared" si="46"/>
        <v>9.9985597205614507</v>
      </c>
      <c r="I192" s="167">
        <f t="shared" si="57"/>
        <v>10.866487145184125</v>
      </c>
      <c r="J192" s="168">
        <f t="shared" si="47"/>
        <v>434.659485807365</v>
      </c>
      <c r="K192" s="169">
        <f t="shared" si="41"/>
        <v>399.94238882245804</v>
      </c>
      <c r="L192" s="170">
        <f t="shared" si="59"/>
        <v>34.717096984906959</v>
      </c>
      <c r="M192" s="171">
        <f t="shared" si="48"/>
        <v>2.7893615069895614</v>
      </c>
      <c r="N192" s="172">
        <f t="shared" si="49"/>
        <v>37.506458491896524</v>
      </c>
      <c r="O192" s="171">
        <v>0</v>
      </c>
      <c r="P192" s="171">
        <v>0</v>
      </c>
      <c r="Q192" s="171">
        <v>0</v>
      </c>
      <c r="R192" s="172">
        <f t="shared" si="50"/>
        <v>37.506458491896524</v>
      </c>
    </row>
    <row r="193" spans="1:18" x14ac:dyDescent="0.25">
      <c r="A193" s="129">
        <v>6</v>
      </c>
      <c r="B193" s="164">
        <f t="shared" si="45"/>
        <v>45444</v>
      </c>
      <c r="C193" s="184">
        <f t="shared" si="58"/>
        <v>45476</v>
      </c>
      <c r="D193" s="184">
        <f t="shared" si="58"/>
        <v>45497</v>
      </c>
      <c r="E193" s="52" t="s">
        <v>57</v>
      </c>
      <c r="F193" s="129">
        <v>9</v>
      </c>
      <c r="G193" s="166">
        <v>47</v>
      </c>
      <c r="H193" s="167">
        <f t="shared" si="46"/>
        <v>9.9985597205614507</v>
      </c>
      <c r="I193" s="167">
        <f t="shared" si="57"/>
        <v>10.866487145184125</v>
      </c>
      <c r="J193" s="168">
        <f t="shared" si="47"/>
        <v>510.72489582365387</v>
      </c>
      <c r="K193" s="169">
        <f t="shared" si="41"/>
        <v>469.93230686638816</v>
      </c>
      <c r="L193" s="174">
        <f t="shared" si="59"/>
        <v>40.792588957265707</v>
      </c>
      <c r="M193" s="171">
        <f t="shared" si="48"/>
        <v>3.2774997707127347</v>
      </c>
      <c r="N193" s="172">
        <f t="shared" si="49"/>
        <v>44.070088727978444</v>
      </c>
      <c r="O193" s="171">
        <v>0</v>
      </c>
      <c r="P193" s="171">
        <v>0</v>
      </c>
      <c r="Q193" s="171">
        <v>0</v>
      </c>
      <c r="R193" s="172">
        <f t="shared" si="50"/>
        <v>44.070088727978444</v>
      </c>
    </row>
    <row r="194" spans="1:18" x14ac:dyDescent="0.25">
      <c r="A194" s="93">
        <v>7</v>
      </c>
      <c r="B194" s="164">
        <f t="shared" si="45"/>
        <v>45474</v>
      </c>
      <c r="C194" s="184">
        <f t="shared" si="58"/>
        <v>45509</v>
      </c>
      <c r="D194" s="184">
        <f t="shared" si="58"/>
        <v>45530</v>
      </c>
      <c r="E194" s="52" t="s">
        <v>57</v>
      </c>
      <c r="F194" s="129">
        <v>9</v>
      </c>
      <c r="G194" s="166">
        <v>47</v>
      </c>
      <c r="H194" s="167">
        <f t="shared" si="46"/>
        <v>9.9985597205614507</v>
      </c>
      <c r="I194" s="167">
        <f t="shared" si="57"/>
        <v>10.866487145184125</v>
      </c>
      <c r="J194" s="168">
        <f t="shared" si="47"/>
        <v>510.72489582365387</v>
      </c>
      <c r="K194" s="175">
        <f t="shared" si="41"/>
        <v>469.93230686638816</v>
      </c>
      <c r="L194" s="174">
        <f t="shared" si="59"/>
        <v>40.792588957265707</v>
      </c>
      <c r="M194" s="171">
        <f t="shared" si="48"/>
        <v>3.2774997707127347</v>
      </c>
      <c r="N194" s="172">
        <f t="shared" si="49"/>
        <v>44.070088727978444</v>
      </c>
      <c r="O194" s="171">
        <v>0</v>
      </c>
      <c r="P194" s="171">
        <v>0</v>
      </c>
      <c r="Q194" s="171">
        <v>0</v>
      </c>
      <c r="R194" s="172">
        <f t="shared" si="50"/>
        <v>44.070088727978444</v>
      </c>
    </row>
    <row r="195" spans="1:18" x14ac:dyDescent="0.25">
      <c r="A195" s="129">
        <v>8</v>
      </c>
      <c r="B195" s="164">
        <f t="shared" si="45"/>
        <v>45505</v>
      </c>
      <c r="C195" s="184">
        <f t="shared" si="58"/>
        <v>45539</v>
      </c>
      <c r="D195" s="184">
        <f t="shared" si="58"/>
        <v>45559</v>
      </c>
      <c r="E195" s="52" t="s">
        <v>57</v>
      </c>
      <c r="F195" s="129">
        <v>9</v>
      </c>
      <c r="G195" s="166">
        <v>51</v>
      </c>
      <c r="H195" s="167">
        <f t="shared" si="46"/>
        <v>9.9985597205614507</v>
      </c>
      <c r="I195" s="167">
        <f t="shared" si="57"/>
        <v>10.866487145184125</v>
      </c>
      <c r="J195" s="168">
        <f t="shared" si="47"/>
        <v>554.19084440439042</v>
      </c>
      <c r="K195" s="175">
        <f t="shared" si="41"/>
        <v>509.926545748634</v>
      </c>
      <c r="L195" s="174">
        <f t="shared" si="59"/>
        <v>44.26429865575642</v>
      </c>
      <c r="M195" s="171">
        <f t="shared" si="48"/>
        <v>3.5564359214116905</v>
      </c>
      <c r="N195" s="172">
        <f t="shared" si="49"/>
        <v>47.82073457716811</v>
      </c>
      <c r="O195" s="171">
        <v>0</v>
      </c>
      <c r="P195" s="171">
        <v>0</v>
      </c>
      <c r="Q195" s="171">
        <v>0</v>
      </c>
      <c r="R195" s="172">
        <f t="shared" si="50"/>
        <v>47.82073457716811</v>
      </c>
    </row>
    <row r="196" spans="1:18" x14ac:dyDescent="0.25">
      <c r="A196" s="129">
        <v>9</v>
      </c>
      <c r="B196" s="164">
        <f t="shared" si="45"/>
        <v>45536</v>
      </c>
      <c r="C196" s="184">
        <f t="shared" si="58"/>
        <v>45568</v>
      </c>
      <c r="D196" s="184">
        <f t="shared" si="58"/>
        <v>45589</v>
      </c>
      <c r="E196" s="52" t="s">
        <v>57</v>
      </c>
      <c r="F196" s="129">
        <v>9</v>
      </c>
      <c r="G196" s="166">
        <v>43</v>
      </c>
      <c r="H196" s="167">
        <f t="shared" si="46"/>
        <v>9.9985597205614507</v>
      </c>
      <c r="I196" s="167">
        <f t="shared" si="57"/>
        <v>10.866487145184125</v>
      </c>
      <c r="J196" s="168">
        <f t="shared" si="47"/>
        <v>467.25894724291737</v>
      </c>
      <c r="K196" s="175">
        <f t="shared" si="41"/>
        <v>429.93806798414238</v>
      </c>
      <c r="L196" s="174">
        <f t="shared" si="59"/>
        <v>37.320879258774994</v>
      </c>
      <c r="M196" s="171">
        <f t="shared" si="48"/>
        <v>2.9985636200137784</v>
      </c>
      <c r="N196" s="172">
        <f t="shared" si="49"/>
        <v>40.31944287878877</v>
      </c>
      <c r="O196" s="171">
        <v>0</v>
      </c>
      <c r="P196" s="171">
        <v>0</v>
      </c>
      <c r="Q196" s="171">
        <v>0</v>
      </c>
      <c r="R196" s="172">
        <f t="shared" si="50"/>
        <v>40.31944287878877</v>
      </c>
    </row>
    <row r="197" spans="1:18" x14ac:dyDescent="0.25">
      <c r="A197" s="93">
        <v>10</v>
      </c>
      <c r="B197" s="164">
        <f t="shared" si="45"/>
        <v>45566</v>
      </c>
      <c r="C197" s="184">
        <f t="shared" si="58"/>
        <v>45601</v>
      </c>
      <c r="D197" s="184">
        <f t="shared" si="58"/>
        <v>45621</v>
      </c>
      <c r="E197" s="52" t="s">
        <v>57</v>
      </c>
      <c r="F197" s="129">
        <v>9</v>
      </c>
      <c r="G197" s="166">
        <v>37</v>
      </c>
      <c r="H197" s="167">
        <f t="shared" si="46"/>
        <v>9.9985597205614507</v>
      </c>
      <c r="I197" s="167">
        <f t="shared" si="57"/>
        <v>10.866487145184125</v>
      </c>
      <c r="J197" s="168">
        <f t="shared" si="47"/>
        <v>402.06002437181263</v>
      </c>
      <c r="K197" s="175">
        <f t="shared" si="41"/>
        <v>369.94670966077365</v>
      </c>
      <c r="L197" s="174">
        <f t="shared" si="59"/>
        <v>32.113314711038981</v>
      </c>
      <c r="M197" s="171">
        <f t="shared" si="48"/>
        <v>2.580159393965344</v>
      </c>
      <c r="N197" s="172">
        <f t="shared" si="49"/>
        <v>34.693474105004327</v>
      </c>
      <c r="O197" s="171">
        <v>0</v>
      </c>
      <c r="P197" s="171">
        <v>0</v>
      </c>
      <c r="Q197" s="171">
        <v>0</v>
      </c>
      <c r="R197" s="172">
        <f t="shared" si="50"/>
        <v>34.693474105004327</v>
      </c>
    </row>
    <row r="198" spans="1:18" x14ac:dyDescent="0.25">
      <c r="A198" s="129">
        <v>11</v>
      </c>
      <c r="B198" s="164">
        <f t="shared" si="45"/>
        <v>45597</v>
      </c>
      <c r="C198" s="184">
        <f t="shared" si="58"/>
        <v>45630</v>
      </c>
      <c r="D198" s="184">
        <f t="shared" si="58"/>
        <v>45650</v>
      </c>
      <c r="E198" s="52" t="s">
        <v>57</v>
      </c>
      <c r="F198" s="129">
        <v>9</v>
      </c>
      <c r="G198" s="166">
        <v>34</v>
      </c>
      <c r="H198" s="167">
        <f t="shared" si="46"/>
        <v>9.9985597205614507</v>
      </c>
      <c r="I198" s="167">
        <f t="shared" si="57"/>
        <v>10.866487145184125</v>
      </c>
      <c r="J198" s="168">
        <f t="shared" si="47"/>
        <v>369.46056293626026</v>
      </c>
      <c r="K198" s="175">
        <f t="shared" ref="K198:K209" si="60">+$G198*H198</f>
        <v>339.95103049908931</v>
      </c>
      <c r="L198" s="174">
        <f t="shared" si="59"/>
        <v>29.509532437170947</v>
      </c>
      <c r="M198" s="171">
        <f t="shared" si="48"/>
        <v>2.370957280941127</v>
      </c>
      <c r="N198" s="172">
        <f t="shared" si="49"/>
        <v>31.880489718112074</v>
      </c>
      <c r="O198" s="171">
        <v>0</v>
      </c>
      <c r="P198" s="171">
        <v>0</v>
      </c>
      <c r="Q198" s="171">
        <v>0</v>
      </c>
      <c r="R198" s="172">
        <f t="shared" si="50"/>
        <v>31.880489718112074</v>
      </c>
    </row>
    <row r="199" spans="1:18" s="188" customFormat="1" x14ac:dyDescent="0.25">
      <c r="A199" s="129">
        <v>12</v>
      </c>
      <c r="B199" s="186">
        <f t="shared" si="45"/>
        <v>45627</v>
      </c>
      <c r="C199" s="184">
        <f t="shared" si="58"/>
        <v>45660</v>
      </c>
      <c r="D199" s="184">
        <f t="shared" si="58"/>
        <v>45681</v>
      </c>
      <c r="E199" s="187" t="s">
        <v>57</v>
      </c>
      <c r="F199" s="140">
        <v>9</v>
      </c>
      <c r="G199" s="166">
        <v>32</v>
      </c>
      <c r="H199" s="176">
        <f t="shared" si="46"/>
        <v>9.9985597205614507</v>
      </c>
      <c r="I199" s="176">
        <f t="shared" si="57"/>
        <v>10.866487145184125</v>
      </c>
      <c r="J199" s="177">
        <f t="shared" si="47"/>
        <v>347.72758864589201</v>
      </c>
      <c r="K199" s="178">
        <f t="shared" si="60"/>
        <v>319.95391105796642</v>
      </c>
      <c r="L199" s="179">
        <f t="shared" si="59"/>
        <v>27.77367758792559</v>
      </c>
      <c r="M199" s="171">
        <f t="shared" si="48"/>
        <v>2.2314892055916489</v>
      </c>
      <c r="N199" s="172">
        <f t="shared" si="49"/>
        <v>30.00516679351724</v>
      </c>
      <c r="O199" s="171">
        <v>0</v>
      </c>
      <c r="P199" s="171">
        <v>0</v>
      </c>
      <c r="Q199" s="171">
        <v>0</v>
      </c>
      <c r="R199" s="172">
        <f t="shared" si="50"/>
        <v>30.00516679351724</v>
      </c>
    </row>
    <row r="200" spans="1:18" x14ac:dyDescent="0.25">
      <c r="A200" s="93">
        <v>1</v>
      </c>
      <c r="B200" s="164">
        <f t="shared" si="45"/>
        <v>45292</v>
      </c>
      <c r="C200" s="181">
        <f t="shared" si="58"/>
        <v>45327</v>
      </c>
      <c r="D200" s="181">
        <f t="shared" si="58"/>
        <v>45348</v>
      </c>
      <c r="E200" s="165" t="s">
        <v>17</v>
      </c>
      <c r="F200" s="93">
        <v>9</v>
      </c>
      <c r="G200" s="166">
        <v>104</v>
      </c>
      <c r="H200" s="167">
        <f t="shared" si="46"/>
        <v>9.9985597205614507</v>
      </c>
      <c r="I200" s="167">
        <f t="shared" si="57"/>
        <v>10.866487145184125</v>
      </c>
      <c r="J200" s="168">
        <f t="shared" si="47"/>
        <v>1130.1146630991491</v>
      </c>
      <c r="K200" s="169">
        <f t="shared" si="60"/>
        <v>1039.8502109383908</v>
      </c>
      <c r="L200" s="170">
        <f t="shared" si="59"/>
        <v>90.26445216075831</v>
      </c>
      <c r="M200" s="171">
        <f t="shared" si="48"/>
        <v>7.2523399181728587</v>
      </c>
      <c r="N200" s="172">
        <f t="shared" si="49"/>
        <v>97.516792078931175</v>
      </c>
      <c r="O200" s="171">
        <v>0</v>
      </c>
      <c r="P200" s="171">
        <v>0</v>
      </c>
      <c r="Q200" s="171">
        <v>0</v>
      </c>
      <c r="R200" s="172">
        <f t="shared" si="50"/>
        <v>97.516792078931175</v>
      </c>
    </row>
    <row r="201" spans="1:18" x14ac:dyDescent="0.25">
      <c r="A201" s="129">
        <v>2</v>
      </c>
      <c r="B201" s="164">
        <f t="shared" si="45"/>
        <v>45323</v>
      </c>
      <c r="C201" s="184">
        <f t="shared" si="58"/>
        <v>45356</v>
      </c>
      <c r="D201" s="184">
        <f t="shared" si="58"/>
        <v>45376</v>
      </c>
      <c r="E201" s="173" t="s">
        <v>17</v>
      </c>
      <c r="F201" s="129">
        <v>9</v>
      </c>
      <c r="G201" s="166">
        <v>99</v>
      </c>
      <c r="H201" s="167">
        <f t="shared" si="46"/>
        <v>9.9985597205614507</v>
      </c>
      <c r="I201" s="167">
        <f t="shared" si="57"/>
        <v>10.866487145184125</v>
      </c>
      <c r="J201" s="168">
        <f t="shared" si="47"/>
        <v>1075.7822273732284</v>
      </c>
      <c r="K201" s="169">
        <f t="shared" si="60"/>
        <v>989.8574123355836</v>
      </c>
      <c r="L201" s="170">
        <f t="shared" si="59"/>
        <v>85.924815037644748</v>
      </c>
      <c r="M201" s="171">
        <f t="shared" si="48"/>
        <v>6.903669729799164</v>
      </c>
      <c r="N201" s="172">
        <f t="shared" si="49"/>
        <v>92.828484767443911</v>
      </c>
      <c r="O201" s="171">
        <v>0</v>
      </c>
      <c r="P201" s="171">
        <v>0</v>
      </c>
      <c r="Q201" s="171">
        <v>0</v>
      </c>
      <c r="R201" s="172">
        <f t="shared" si="50"/>
        <v>92.828484767443911</v>
      </c>
    </row>
    <row r="202" spans="1:18" x14ac:dyDescent="0.25">
      <c r="A202" s="129">
        <v>3</v>
      </c>
      <c r="B202" s="164">
        <f t="shared" si="45"/>
        <v>45352</v>
      </c>
      <c r="C202" s="184">
        <f t="shared" si="58"/>
        <v>45385</v>
      </c>
      <c r="D202" s="184">
        <f t="shared" si="58"/>
        <v>45406</v>
      </c>
      <c r="E202" s="173" t="s">
        <v>17</v>
      </c>
      <c r="F202" s="129">
        <v>9</v>
      </c>
      <c r="G202" s="166">
        <v>99</v>
      </c>
      <c r="H202" s="167">
        <f t="shared" si="46"/>
        <v>9.9985597205614507</v>
      </c>
      <c r="I202" s="167">
        <f t="shared" si="57"/>
        <v>10.866487145184125</v>
      </c>
      <c r="J202" s="168">
        <f t="shared" si="47"/>
        <v>1075.7822273732284</v>
      </c>
      <c r="K202" s="169">
        <f t="shared" si="60"/>
        <v>989.8574123355836</v>
      </c>
      <c r="L202" s="170">
        <f>+J202-K202</f>
        <v>85.924815037644748</v>
      </c>
      <c r="M202" s="171">
        <f t="shared" si="48"/>
        <v>6.903669729799164</v>
      </c>
      <c r="N202" s="172">
        <f t="shared" si="49"/>
        <v>92.828484767443911</v>
      </c>
      <c r="O202" s="171">
        <v>0</v>
      </c>
      <c r="P202" s="171">
        <v>0</v>
      </c>
      <c r="Q202" s="171">
        <v>0</v>
      </c>
      <c r="R202" s="172">
        <f t="shared" si="50"/>
        <v>92.828484767443911</v>
      </c>
    </row>
    <row r="203" spans="1:18" x14ac:dyDescent="0.25">
      <c r="A203" s="93">
        <v>4</v>
      </c>
      <c r="B203" s="164">
        <f t="shared" si="45"/>
        <v>45383</v>
      </c>
      <c r="C203" s="184">
        <f t="shared" si="58"/>
        <v>45415</v>
      </c>
      <c r="D203" s="184">
        <f t="shared" si="58"/>
        <v>45436</v>
      </c>
      <c r="E203" s="173" t="s">
        <v>17</v>
      </c>
      <c r="F203" s="129">
        <v>9</v>
      </c>
      <c r="G203" s="166">
        <v>99</v>
      </c>
      <c r="H203" s="167">
        <f t="shared" si="46"/>
        <v>9.9985597205614507</v>
      </c>
      <c r="I203" s="167">
        <f t="shared" si="57"/>
        <v>10.866487145184125</v>
      </c>
      <c r="J203" s="168">
        <f t="shared" si="47"/>
        <v>1075.7822273732284</v>
      </c>
      <c r="K203" s="169">
        <f t="shared" si="60"/>
        <v>989.8574123355836</v>
      </c>
      <c r="L203" s="170">
        <f t="shared" ref="L203:L211" si="61">+J203-K203</f>
        <v>85.924815037644748</v>
      </c>
      <c r="M203" s="171">
        <f t="shared" si="48"/>
        <v>6.903669729799164</v>
      </c>
      <c r="N203" s="172">
        <f t="shared" si="49"/>
        <v>92.828484767443911</v>
      </c>
      <c r="O203" s="171">
        <v>0</v>
      </c>
      <c r="P203" s="171">
        <v>0</v>
      </c>
      <c r="Q203" s="171">
        <v>0</v>
      </c>
      <c r="R203" s="172">
        <f t="shared" si="50"/>
        <v>92.828484767443911</v>
      </c>
    </row>
    <row r="204" spans="1:18" x14ac:dyDescent="0.25">
      <c r="A204" s="129">
        <v>5</v>
      </c>
      <c r="B204" s="164">
        <f t="shared" si="45"/>
        <v>45413</v>
      </c>
      <c r="C204" s="184">
        <f t="shared" si="58"/>
        <v>45448</v>
      </c>
      <c r="D204" s="184">
        <f t="shared" si="58"/>
        <v>45467</v>
      </c>
      <c r="E204" s="52" t="s">
        <v>17</v>
      </c>
      <c r="F204" s="129">
        <v>9</v>
      </c>
      <c r="G204" s="166">
        <v>106</v>
      </c>
      <c r="H204" s="167">
        <f t="shared" si="46"/>
        <v>9.9985597205614507</v>
      </c>
      <c r="I204" s="167">
        <f t="shared" si="57"/>
        <v>10.866487145184125</v>
      </c>
      <c r="J204" s="168">
        <f t="shared" si="47"/>
        <v>1151.8476373895173</v>
      </c>
      <c r="K204" s="169">
        <f t="shared" si="60"/>
        <v>1059.8473303795138</v>
      </c>
      <c r="L204" s="170">
        <f t="shared" si="61"/>
        <v>92.000307010003553</v>
      </c>
      <c r="M204" s="171">
        <f t="shared" si="48"/>
        <v>7.3918079935223373</v>
      </c>
      <c r="N204" s="172">
        <f t="shared" si="49"/>
        <v>99.392115003525888</v>
      </c>
      <c r="O204" s="171">
        <v>0</v>
      </c>
      <c r="P204" s="171">
        <v>0</v>
      </c>
      <c r="Q204" s="171">
        <v>0</v>
      </c>
      <c r="R204" s="172">
        <f t="shared" si="50"/>
        <v>99.392115003525888</v>
      </c>
    </row>
    <row r="205" spans="1:18" x14ac:dyDescent="0.25">
      <c r="A205" s="129">
        <v>6</v>
      </c>
      <c r="B205" s="164">
        <f t="shared" si="45"/>
        <v>45444</v>
      </c>
      <c r="C205" s="184">
        <f t="shared" si="58"/>
        <v>45476</v>
      </c>
      <c r="D205" s="184">
        <f t="shared" si="58"/>
        <v>45497</v>
      </c>
      <c r="E205" s="52" t="s">
        <v>17</v>
      </c>
      <c r="F205" s="129">
        <v>9</v>
      </c>
      <c r="G205" s="166">
        <v>120</v>
      </c>
      <c r="H205" s="167">
        <f t="shared" si="46"/>
        <v>9.9985597205614507</v>
      </c>
      <c r="I205" s="167">
        <f t="shared" si="57"/>
        <v>10.866487145184125</v>
      </c>
      <c r="J205" s="168">
        <f t="shared" si="47"/>
        <v>1303.9784574220951</v>
      </c>
      <c r="K205" s="169">
        <f t="shared" si="60"/>
        <v>1199.8271664673741</v>
      </c>
      <c r="L205" s="174">
        <f t="shared" si="61"/>
        <v>104.15129095472093</v>
      </c>
      <c r="M205" s="171">
        <f t="shared" si="48"/>
        <v>8.3680845209686847</v>
      </c>
      <c r="N205" s="172">
        <f t="shared" si="49"/>
        <v>112.51937547568961</v>
      </c>
      <c r="O205" s="171">
        <v>0</v>
      </c>
      <c r="P205" s="171">
        <v>0</v>
      </c>
      <c r="Q205" s="171">
        <v>0</v>
      </c>
      <c r="R205" s="172">
        <f t="shared" si="50"/>
        <v>112.51937547568961</v>
      </c>
    </row>
    <row r="206" spans="1:18" x14ac:dyDescent="0.25">
      <c r="A206" s="93">
        <v>7</v>
      </c>
      <c r="B206" s="164">
        <f t="shared" si="45"/>
        <v>45474</v>
      </c>
      <c r="C206" s="184">
        <f t="shared" si="58"/>
        <v>45509</v>
      </c>
      <c r="D206" s="184">
        <f t="shared" si="58"/>
        <v>45530</v>
      </c>
      <c r="E206" s="52" t="s">
        <v>17</v>
      </c>
      <c r="F206" s="129">
        <v>9</v>
      </c>
      <c r="G206" s="166">
        <v>117</v>
      </c>
      <c r="H206" s="167">
        <f t="shared" si="46"/>
        <v>9.9985597205614507</v>
      </c>
      <c r="I206" s="167">
        <f t="shared" si="57"/>
        <v>10.866487145184125</v>
      </c>
      <c r="J206" s="168">
        <f t="shared" si="47"/>
        <v>1271.3789959865426</v>
      </c>
      <c r="K206" s="175">
        <f t="shared" si="60"/>
        <v>1169.8314873056897</v>
      </c>
      <c r="L206" s="174">
        <f t="shared" si="61"/>
        <v>101.54750868085284</v>
      </c>
      <c r="M206" s="171">
        <f t="shared" si="48"/>
        <v>8.1588824079444677</v>
      </c>
      <c r="N206" s="172">
        <f t="shared" si="49"/>
        <v>109.70639108879732</v>
      </c>
      <c r="O206" s="171">
        <v>0</v>
      </c>
      <c r="P206" s="171">
        <v>0</v>
      </c>
      <c r="Q206" s="171">
        <v>0</v>
      </c>
      <c r="R206" s="172">
        <f t="shared" si="50"/>
        <v>109.70639108879732</v>
      </c>
    </row>
    <row r="207" spans="1:18" x14ac:dyDescent="0.25">
      <c r="A207" s="129">
        <v>8</v>
      </c>
      <c r="B207" s="164">
        <f t="shared" si="45"/>
        <v>45505</v>
      </c>
      <c r="C207" s="184">
        <f t="shared" si="58"/>
        <v>45539</v>
      </c>
      <c r="D207" s="184">
        <f t="shared" si="58"/>
        <v>45559</v>
      </c>
      <c r="E207" s="52" t="s">
        <v>17</v>
      </c>
      <c r="F207" s="129">
        <v>9</v>
      </c>
      <c r="G207" s="166">
        <v>118</v>
      </c>
      <c r="H207" s="167">
        <f t="shared" si="46"/>
        <v>9.9985597205614507</v>
      </c>
      <c r="I207" s="167">
        <f t="shared" si="57"/>
        <v>10.866487145184125</v>
      </c>
      <c r="J207" s="168">
        <f t="shared" si="47"/>
        <v>1282.2454831317268</v>
      </c>
      <c r="K207" s="175">
        <f t="shared" si="60"/>
        <v>1179.8300470262511</v>
      </c>
      <c r="L207" s="174">
        <f t="shared" si="61"/>
        <v>102.41543610547569</v>
      </c>
      <c r="M207" s="171">
        <f t="shared" si="48"/>
        <v>8.2286164456192061</v>
      </c>
      <c r="N207" s="172">
        <f t="shared" si="49"/>
        <v>110.6440525510949</v>
      </c>
      <c r="O207" s="171">
        <v>0</v>
      </c>
      <c r="P207" s="171">
        <v>0</v>
      </c>
      <c r="Q207" s="171">
        <v>0</v>
      </c>
      <c r="R207" s="172">
        <f t="shared" si="50"/>
        <v>110.6440525510949</v>
      </c>
    </row>
    <row r="208" spans="1:18" x14ac:dyDescent="0.25">
      <c r="A208" s="129">
        <v>9</v>
      </c>
      <c r="B208" s="164">
        <f t="shared" si="45"/>
        <v>45536</v>
      </c>
      <c r="C208" s="184">
        <f t="shared" si="58"/>
        <v>45568</v>
      </c>
      <c r="D208" s="184">
        <f t="shared" si="58"/>
        <v>45589</v>
      </c>
      <c r="E208" s="52" t="s">
        <v>17</v>
      </c>
      <c r="F208" s="129">
        <v>9</v>
      </c>
      <c r="G208" s="166">
        <v>117</v>
      </c>
      <c r="H208" s="167">
        <f t="shared" si="46"/>
        <v>9.9985597205614507</v>
      </c>
      <c r="I208" s="167">
        <f t="shared" si="57"/>
        <v>10.866487145184125</v>
      </c>
      <c r="J208" s="168">
        <f t="shared" si="47"/>
        <v>1271.3789959865426</v>
      </c>
      <c r="K208" s="175">
        <f t="shared" si="60"/>
        <v>1169.8314873056897</v>
      </c>
      <c r="L208" s="174">
        <f t="shared" si="61"/>
        <v>101.54750868085284</v>
      </c>
      <c r="M208" s="171">
        <f t="shared" si="48"/>
        <v>8.1588824079444677</v>
      </c>
      <c r="N208" s="172">
        <f t="shared" si="49"/>
        <v>109.70639108879732</v>
      </c>
      <c r="O208" s="171">
        <v>0</v>
      </c>
      <c r="P208" s="171">
        <v>0</v>
      </c>
      <c r="Q208" s="171">
        <v>0</v>
      </c>
      <c r="R208" s="172">
        <f t="shared" si="50"/>
        <v>109.70639108879732</v>
      </c>
    </row>
    <row r="209" spans="1:18" x14ac:dyDescent="0.25">
      <c r="A209" s="93">
        <v>10</v>
      </c>
      <c r="B209" s="164">
        <f t="shared" si="45"/>
        <v>45566</v>
      </c>
      <c r="C209" s="184">
        <f t="shared" si="58"/>
        <v>45601</v>
      </c>
      <c r="D209" s="184">
        <f t="shared" si="58"/>
        <v>45621</v>
      </c>
      <c r="E209" s="52" t="s">
        <v>17</v>
      </c>
      <c r="F209" s="129">
        <v>9</v>
      </c>
      <c r="G209" s="166">
        <v>107</v>
      </c>
      <c r="H209" s="167">
        <f t="shared" si="46"/>
        <v>9.9985597205614507</v>
      </c>
      <c r="I209" s="167">
        <f t="shared" si="57"/>
        <v>10.866487145184125</v>
      </c>
      <c r="J209" s="168">
        <f t="shared" si="47"/>
        <v>1162.7141245347013</v>
      </c>
      <c r="K209" s="175">
        <f t="shared" si="60"/>
        <v>1069.8458901000752</v>
      </c>
      <c r="L209" s="174">
        <f t="shared" si="61"/>
        <v>92.868234434626174</v>
      </c>
      <c r="M209" s="171">
        <f t="shared" si="48"/>
        <v>7.4615420311970757</v>
      </c>
      <c r="N209" s="172">
        <f t="shared" si="49"/>
        <v>100.32977646582324</v>
      </c>
      <c r="O209" s="171">
        <v>0</v>
      </c>
      <c r="P209" s="171">
        <v>0</v>
      </c>
      <c r="Q209" s="171">
        <v>0</v>
      </c>
      <c r="R209" s="172">
        <f t="shared" si="50"/>
        <v>100.32977646582324</v>
      </c>
    </row>
    <row r="210" spans="1:18" x14ac:dyDescent="0.25">
      <c r="A210" s="129">
        <v>11</v>
      </c>
      <c r="B210" s="164">
        <f t="shared" si="45"/>
        <v>45597</v>
      </c>
      <c r="C210" s="184">
        <f t="shared" si="58"/>
        <v>45630</v>
      </c>
      <c r="D210" s="184">
        <f t="shared" si="58"/>
        <v>45650</v>
      </c>
      <c r="E210" s="52" t="s">
        <v>17</v>
      </c>
      <c r="F210" s="129">
        <v>9</v>
      </c>
      <c r="G210" s="166">
        <v>91</v>
      </c>
      <c r="H210" s="167">
        <f t="shared" si="46"/>
        <v>9.9985597205614507</v>
      </c>
      <c r="I210" s="167">
        <f t="shared" si="57"/>
        <v>10.866487145184125</v>
      </c>
      <c r="J210" s="168">
        <f t="shared" si="47"/>
        <v>988.85033021175536</v>
      </c>
      <c r="K210" s="175">
        <f>+$G210*H210</f>
        <v>909.86893457109204</v>
      </c>
      <c r="L210" s="174">
        <f t="shared" si="61"/>
        <v>78.981395640663322</v>
      </c>
      <c r="M210" s="171">
        <f t="shared" si="48"/>
        <v>6.3457974284012524</v>
      </c>
      <c r="N210" s="172">
        <f t="shared" si="49"/>
        <v>85.327193069064577</v>
      </c>
      <c r="O210" s="171">
        <v>0</v>
      </c>
      <c r="P210" s="171">
        <v>0</v>
      </c>
      <c r="Q210" s="171">
        <v>0</v>
      </c>
      <c r="R210" s="172">
        <f t="shared" si="50"/>
        <v>85.327193069064577</v>
      </c>
    </row>
    <row r="211" spans="1:18" s="188" customFormat="1" x14ac:dyDescent="0.25">
      <c r="A211" s="129">
        <v>12</v>
      </c>
      <c r="B211" s="186">
        <f t="shared" si="45"/>
        <v>45627</v>
      </c>
      <c r="C211" s="189">
        <f t="shared" si="58"/>
        <v>45660</v>
      </c>
      <c r="D211" s="189">
        <f t="shared" si="58"/>
        <v>45681</v>
      </c>
      <c r="E211" s="187" t="s">
        <v>17</v>
      </c>
      <c r="F211" s="140">
        <v>9</v>
      </c>
      <c r="G211" s="166">
        <v>102</v>
      </c>
      <c r="H211" s="176">
        <f t="shared" si="46"/>
        <v>9.9985597205614507</v>
      </c>
      <c r="I211" s="176">
        <f t="shared" si="57"/>
        <v>10.866487145184125</v>
      </c>
      <c r="J211" s="177">
        <f t="shared" si="47"/>
        <v>1108.3816888087808</v>
      </c>
      <c r="K211" s="178">
        <f>+$G211*H211</f>
        <v>1019.853091497268</v>
      </c>
      <c r="L211" s="179">
        <f t="shared" si="61"/>
        <v>88.52859731151284</v>
      </c>
      <c r="M211" s="177">
        <f t="shared" si="48"/>
        <v>7.112871842823381</v>
      </c>
      <c r="N211" s="172">
        <f t="shared" si="49"/>
        <v>95.641469154336221</v>
      </c>
      <c r="O211" s="171">
        <v>0</v>
      </c>
      <c r="P211" s="171">
        <v>0</v>
      </c>
      <c r="Q211" s="171">
        <v>0</v>
      </c>
      <c r="R211" s="172">
        <f t="shared" si="50"/>
        <v>95.641469154336221</v>
      </c>
    </row>
    <row r="212" spans="1:18" x14ac:dyDescent="0.25">
      <c r="G212" s="194">
        <f>SUM(G20:G211)</f>
        <v>101851</v>
      </c>
      <c r="H212" s="49"/>
      <c r="I212" s="49"/>
      <c r="J212" s="49">
        <f>SUM(J20:J211)</f>
        <v>1106762.5822241488</v>
      </c>
      <c r="K212" s="49">
        <f>SUM(K20:K211)</f>
        <v>1018363.3060989039</v>
      </c>
      <c r="L212" s="49">
        <f>SUM(L20:L211)</f>
        <v>88399.276125244083</v>
      </c>
      <c r="M212" s="49">
        <f>SUM(M20:M211)</f>
        <v>7102.4814712098378</v>
      </c>
      <c r="N212" s="49"/>
      <c r="O212" s="49"/>
      <c r="P212" s="49">
        <f>SUM(P20:P211)</f>
        <v>0</v>
      </c>
      <c r="Q212" s="49"/>
      <c r="R212" s="195">
        <f>SUM(R20:R211)</f>
        <v>95501.757596453841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9C77599AAFD4B8FFD850D55630F3C" ma:contentTypeVersion="11" ma:contentTypeDescription="Create a new document." ma:contentTypeScope="" ma:versionID="ad751a9f435e1866f9f8a73a34278f13">
  <xsd:schema xmlns:xsd="http://www.w3.org/2001/XMLSchema" xmlns:xs="http://www.w3.org/2001/XMLSchema" xmlns:p="http://schemas.microsoft.com/office/2006/metadata/properties" xmlns:ns2="6a06342d-ce85-4729-8251-347f0ba4f840" xmlns:ns3="b6888f76-1100-40b0-929b-1efe9044426d" targetNamespace="http://schemas.microsoft.com/office/2006/metadata/properties" ma:root="true" ma:fieldsID="e425485e64401a05f4c6dac9240526dc" ns2:_="" ns3:_="">
    <xsd:import namespace="6a06342d-ce85-4729-8251-347f0ba4f840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6342d-ce85-4729-8251-347f0ba4f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ToxMi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Do1NyBQTTwvRGF0ZVRpbWU+PExhYmVsU3RyaW5nPkFFUCBJbnRlcm5hbDwvTGFiZWxTdHJpbmc+PC9pdGVtPjwvbGFiZWxIaXN0b3J5Pg==</Value>
</WrappedLabelHistor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06342d-ce85-4729-8251-347f0ba4f840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A0460CA7-65A0-4185-B138-B0D9A88C0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9BFC3-927E-4308-953B-F44636811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6342d-ce85-4729-8251-347f0ba4f840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14C9F-6145-417D-BF91-17C37C065136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34EBC3E1-0FEF-4AE9-93E9-51018C23989D}">
  <ds:schemaRefs>
    <ds:schemaRef ds:uri="http://schemas.microsoft.com/office/2006/metadata/properties"/>
    <ds:schemaRef ds:uri="http://schemas.microsoft.com/office/infopath/2007/PartnerControls"/>
    <ds:schemaRef ds:uri="6a06342d-ce85-4729-8251-347f0ba4f840"/>
    <ds:schemaRef ds:uri="b6888f76-1100-40b0-929b-1efe9044426d"/>
  </ds:schemaRefs>
</ds:datastoreItem>
</file>

<file path=customXml/itemProps5.xml><?xml version="1.0" encoding="utf-8"?>
<ds:datastoreItem xmlns:ds="http://schemas.openxmlformats.org/officeDocument/2006/customXml" ds:itemID="{F7BBF2F4-297E-4421-923E-C7EE2A4864F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2025-05-27T13:21:03Z</cp:lastPrinted>
  <dcterms:created xsi:type="dcterms:W3CDTF">2009-09-04T18:19:13Z</dcterms:created>
  <dcterms:modified xsi:type="dcterms:W3CDTF">2025-05-27T13:21:34Z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01ffe4e3-56ac-407c-bc33-cee9bb915f64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{67814C9F-6145-417D-BF91-17C37C065136}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  <property fmtid="{D5CDD505-2E9C-101B-9397-08002B2CF9AE}" pid="13" name="ContentTypeId">
    <vt:lpwstr>0x0101002649C77599AAFD4B8FFD850D55630F3C</vt:lpwstr>
  </property>
  <property fmtid="{D5CDD505-2E9C-101B-9397-08002B2CF9AE}" pid="14" name="MediaServiceImageTags">
    <vt:lpwstr/>
  </property>
</Properties>
</file>