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Formula Rates/Transmission Formula Rates/West TransCos - SPP OATT Attach H-12/Rate Year 2024/True Up (ATRR)/As Filed/"/>
    </mc:Choice>
  </mc:AlternateContent>
  <xr:revisionPtr revIDLastSave="18" documentId="8_{00305D77-7C28-4148-9D91-DC09AD79765D}" xr6:coauthVersionLast="47" xr6:coauthVersionMax="47" xr10:uidLastSave="{7CF94052-2F93-4E44-AAA9-E69DCFCBB7F5}"/>
  <bookViews>
    <workbookView xWindow="52680" yWindow="-120" windowWidth="24240" windowHeight="13020" activeTab="1" xr2:uid="{00000000-000D-0000-FFFF-FFFF00000000}"/>
  </bookViews>
  <sheets>
    <sheet name="Instructions" sheetId="33" r:id="rId1"/>
    <sheet name="20XX NOLC Refund Detail" sheetId="34" r:id="rId2"/>
    <sheet name="Summary" sheetId="29" r:id="rId3"/>
    <sheet name="Pivot" sheetId="31" r:id="rId4"/>
    <sheet name="Transactions" sheetId="18" r:id="rId5"/>
  </sheets>
  <definedNames>
    <definedName name="_xlnm._FilterDatabase" localSheetId="4" hidden="1">Transactions!$A$15:$R$211</definedName>
    <definedName name="AS1_1999" localSheetId="4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2">Summary!$C$1:$I$39</definedName>
    <definedName name="_xlnm.Print_Area" localSheetId="4">Transactions!$A$1:$R$211</definedName>
    <definedName name="_xlnm.Print_Titles" localSheetId="3">Pivot!$3:$4</definedName>
    <definedName name="_xlnm.Print_Titles" localSheetId="4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 iterate="1"/>
  <pivotCaches>
    <pivotCache cacheId="2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4" l="1"/>
  <c r="D18" i="34"/>
  <c r="C18" i="34"/>
  <c r="H35" i="29" s="1"/>
  <c r="D16" i="34"/>
  <c r="D15" i="34"/>
  <c r="C15" i="34"/>
  <c r="H32" i="29" s="1"/>
  <c r="B13" i="34"/>
  <c r="D11" i="34"/>
  <c r="D10" i="34"/>
  <c r="C10" i="34"/>
  <c r="H27" i="29" s="1"/>
  <c r="D7" i="34"/>
  <c r="D5" i="34"/>
  <c r="C5" i="34"/>
  <c r="H22" i="29" s="1"/>
  <c r="B4" i="34"/>
  <c r="D12" i="34"/>
  <c r="C20" i="34"/>
  <c r="H37" i="29" s="1"/>
  <c r="E20" i="34" l="1"/>
  <c r="E15" i="34"/>
  <c r="E5" i="34"/>
  <c r="E10" i="34"/>
  <c r="E18" i="34"/>
  <c r="C8" i="34"/>
  <c r="H25" i="29" s="1"/>
  <c r="C13" i="34"/>
  <c r="H30" i="29" s="1"/>
  <c r="D8" i="34"/>
  <c r="C11" i="34"/>
  <c r="H28" i="29" s="1"/>
  <c r="D13" i="34"/>
  <c r="C16" i="34"/>
  <c r="H33" i="29" s="1"/>
  <c r="E2" i="34"/>
  <c r="C6" i="34"/>
  <c r="H23" i="29" s="1"/>
  <c r="D6" i="34"/>
  <c r="C9" i="34"/>
  <c r="H26" i="29" s="1"/>
  <c r="C14" i="34"/>
  <c r="H31" i="29" s="1"/>
  <c r="D19" i="34"/>
  <c r="D21" i="34" s="1"/>
  <c r="C19" i="34"/>
  <c r="H36" i="29" s="1"/>
  <c r="C4" i="34"/>
  <c r="H21" i="29" s="1"/>
  <c r="D9" i="34"/>
  <c r="C12" i="34"/>
  <c r="H29" i="29" s="1"/>
  <c r="D14" i="34"/>
  <c r="D4" i="34"/>
  <c r="C7" i="34"/>
  <c r="H24" i="29" s="1"/>
  <c r="E19" i="34" l="1"/>
  <c r="E21" i="34" s="1"/>
  <c r="E14" i="34"/>
  <c r="E11" i="34"/>
  <c r="E9" i="34"/>
  <c r="E16" i="34"/>
  <c r="E7" i="34"/>
  <c r="E12" i="34"/>
  <c r="E6" i="34"/>
  <c r="C17" i="34"/>
  <c r="E4" i="34"/>
  <c r="D17" i="34"/>
  <c r="D22" i="34" s="1"/>
  <c r="C21" i="34"/>
  <c r="E13" i="34"/>
  <c r="E8" i="34"/>
  <c r="C22" i="34" l="1"/>
  <c r="E17" i="34"/>
  <c r="E22" i="34" s="1"/>
  <c r="C5" i="29"/>
  <c r="L3" i="18" l="1"/>
  <c r="H186" i="18"/>
  <c r="H54" i="18" l="1"/>
  <c r="H106" i="18"/>
  <c r="H170" i="18"/>
  <c r="H23" i="18"/>
  <c r="H31" i="18"/>
  <c r="H63" i="18"/>
  <c r="H126" i="18"/>
  <c r="H190" i="18"/>
  <c r="H38" i="18"/>
  <c r="H74" i="18"/>
  <c r="H138" i="18"/>
  <c r="H202" i="18"/>
  <c r="H22" i="18"/>
  <c r="H47" i="18"/>
  <c r="H94" i="18"/>
  <c r="H158" i="18"/>
  <c r="H27" i="18"/>
  <c r="H39" i="18"/>
  <c r="H55" i="18"/>
  <c r="H78" i="18"/>
  <c r="H110" i="18"/>
  <c r="H142" i="18"/>
  <c r="H174" i="18"/>
  <c r="H206" i="18"/>
  <c r="H30" i="18"/>
  <c r="H46" i="18"/>
  <c r="H62" i="18"/>
  <c r="H90" i="18"/>
  <c r="H122" i="18"/>
  <c r="H154" i="18"/>
  <c r="H209" i="18"/>
  <c r="H205" i="18"/>
  <c r="H201" i="18"/>
  <c r="H197" i="18"/>
  <c r="H193" i="18"/>
  <c r="H189" i="18"/>
  <c r="H185" i="18"/>
  <c r="H181" i="18"/>
  <c r="H177" i="18"/>
  <c r="H173" i="18"/>
  <c r="H169" i="18"/>
  <c r="H165" i="18"/>
  <c r="H161" i="18"/>
  <c r="H157" i="18"/>
  <c r="H153" i="18"/>
  <c r="H149" i="18"/>
  <c r="H145" i="18"/>
  <c r="H141" i="18"/>
  <c r="H137" i="18"/>
  <c r="H133" i="18"/>
  <c r="H129" i="18"/>
  <c r="H125" i="18"/>
  <c r="H121" i="18"/>
  <c r="H117" i="18"/>
  <c r="H113" i="18"/>
  <c r="H109" i="18"/>
  <c r="H105" i="18"/>
  <c r="H101" i="18"/>
  <c r="H97" i="18"/>
  <c r="H93" i="18"/>
  <c r="H89" i="18"/>
  <c r="H85" i="18"/>
  <c r="H81" i="18"/>
  <c r="H77" i="18"/>
  <c r="H73" i="18"/>
  <c r="H69" i="18"/>
  <c r="H65" i="18"/>
  <c r="H61" i="18"/>
  <c r="H57" i="18"/>
  <c r="H53" i="18"/>
  <c r="H49" i="18"/>
  <c r="H45" i="18"/>
  <c r="H41" i="18"/>
  <c r="H37" i="18"/>
  <c r="H33" i="18"/>
  <c r="H29" i="18"/>
  <c r="H25" i="18"/>
  <c r="H21" i="18"/>
  <c r="H208" i="18"/>
  <c r="H204" i="18"/>
  <c r="H200" i="18"/>
  <c r="H196" i="18"/>
  <c r="H192" i="18"/>
  <c r="H188" i="18"/>
  <c r="H184" i="18"/>
  <c r="H180" i="18"/>
  <c r="H176" i="18"/>
  <c r="H172" i="18"/>
  <c r="H168" i="18"/>
  <c r="H164" i="18"/>
  <c r="H160" i="18"/>
  <c r="H156" i="18"/>
  <c r="H152" i="18"/>
  <c r="H148" i="18"/>
  <c r="H144" i="18"/>
  <c r="H140" i="18"/>
  <c r="H136" i="18"/>
  <c r="H132" i="18"/>
  <c r="H128" i="18"/>
  <c r="H124" i="18"/>
  <c r="H120" i="18"/>
  <c r="H116" i="18"/>
  <c r="H112" i="18"/>
  <c r="H108" i="18"/>
  <c r="H104" i="18"/>
  <c r="H100" i="18"/>
  <c r="H96" i="18"/>
  <c r="H92" i="18"/>
  <c r="H88" i="18"/>
  <c r="H84" i="18"/>
  <c r="H80" i="18"/>
  <c r="H76" i="18"/>
  <c r="H72" i="18"/>
  <c r="H68" i="18"/>
  <c r="H64" i="18"/>
  <c r="H60" i="18"/>
  <c r="H56" i="18"/>
  <c r="H52" i="18"/>
  <c r="H48" i="18"/>
  <c r="H44" i="18"/>
  <c r="H40" i="18"/>
  <c r="H36" i="18"/>
  <c r="H32" i="18"/>
  <c r="H28" i="18"/>
  <c r="H24" i="18"/>
  <c r="H20" i="18"/>
  <c r="H211" i="18"/>
  <c r="H207" i="18"/>
  <c r="H203" i="18"/>
  <c r="H199" i="18"/>
  <c r="H195" i="18"/>
  <c r="H191" i="18"/>
  <c r="H187" i="18"/>
  <c r="H183" i="18"/>
  <c r="H179" i="18"/>
  <c r="H175" i="18"/>
  <c r="H171" i="18"/>
  <c r="H167" i="18"/>
  <c r="H163" i="18"/>
  <c r="H159" i="18"/>
  <c r="H155" i="18"/>
  <c r="H151" i="18"/>
  <c r="H147" i="18"/>
  <c r="H143" i="18"/>
  <c r="H139" i="18"/>
  <c r="H135" i="18"/>
  <c r="H131" i="18"/>
  <c r="H127" i="18"/>
  <c r="H123" i="18"/>
  <c r="H119" i="18"/>
  <c r="H115" i="18"/>
  <c r="H111" i="18"/>
  <c r="H107" i="18"/>
  <c r="H103" i="18"/>
  <c r="H99" i="18"/>
  <c r="H95" i="18"/>
  <c r="H91" i="18"/>
  <c r="H87" i="18"/>
  <c r="H83" i="18"/>
  <c r="H79" i="18"/>
  <c r="H75" i="18"/>
  <c r="H71" i="18"/>
  <c r="H67" i="18"/>
  <c r="H26" i="18"/>
  <c r="H34" i="18"/>
  <c r="H42" i="18"/>
  <c r="H50" i="18"/>
  <c r="H58" i="18"/>
  <c r="H66" i="18"/>
  <c r="H82" i="18"/>
  <c r="H98" i="18"/>
  <c r="H114" i="18"/>
  <c r="H130" i="18"/>
  <c r="H146" i="18"/>
  <c r="H162" i="18"/>
  <c r="H178" i="18"/>
  <c r="H194" i="18"/>
  <c r="H210" i="18"/>
  <c r="H35" i="18"/>
  <c r="H43" i="18"/>
  <c r="H51" i="18"/>
  <c r="H59" i="18"/>
  <c r="H70" i="18"/>
  <c r="H86" i="18"/>
  <c r="H102" i="18"/>
  <c r="H118" i="18"/>
  <c r="H134" i="18"/>
  <c r="H150" i="18"/>
  <c r="H166" i="18"/>
  <c r="H182" i="18"/>
  <c r="H198" i="18"/>
  <c r="K20" i="18" l="1"/>
  <c r="O191" i="18"/>
  <c r="K1" i="18"/>
  <c r="O59" i="18"/>
  <c r="P59" i="18" s="1"/>
  <c r="O67" i="18"/>
  <c r="O210" i="18"/>
  <c r="P210" i="18" s="1"/>
  <c r="O202" i="18"/>
  <c r="O178" i="18"/>
  <c r="O146" i="18"/>
  <c r="O138" i="18"/>
  <c r="O98" i="18"/>
  <c r="O90" i="18"/>
  <c r="P90" i="18" s="1"/>
  <c r="O38" i="18"/>
  <c r="O209" i="18"/>
  <c r="O181" i="18"/>
  <c r="P181" i="18" s="1"/>
  <c r="O177" i="18"/>
  <c r="O145" i="18"/>
  <c r="O121" i="18"/>
  <c r="O97" i="18"/>
  <c r="P97" i="18" s="1"/>
  <c r="O81" i="18"/>
  <c r="P81" i="18" s="1"/>
  <c r="O73" i="18"/>
  <c r="O49" i="18"/>
  <c r="O25" i="18"/>
  <c r="O208" i="18"/>
  <c r="O180" i="18"/>
  <c r="O160" i="18"/>
  <c r="O152" i="18"/>
  <c r="O120" i="18"/>
  <c r="O100" i="18"/>
  <c r="O96" i="18"/>
  <c r="O72" i="18"/>
  <c r="O52" i="18"/>
  <c r="O48" i="18"/>
  <c r="O23" i="18"/>
  <c r="O119" i="18"/>
  <c r="P119" i="18" s="1"/>
  <c r="O135" i="18"/>
  <c r="P191" i="18"/>
  <c r="P121" i="18"/>
  <c r="P98" i="18"/>
  <c r="P38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C3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D38" i="18"/>
  <c r="D50" i="18" s="1"/>
  <c r="J19" i="18"/>
  <c r="D43" i="18"/>
  <c r="D67" i="18" s="1"/>
  <c r="D79" i="18" s="1"/>
  <c r="B31" i="18"/>
  <c r="D42" i="18"/>
  <c r="D66" i="18" s="1"/>
  <c r="B30" i="18"/>
  <c r="D41" i="18"/>
  <c r="D65" i="18" s="1"/>
  <c r="D89" i="18" s="1"/>
  <c r="D101" i="18" s="1"/>
  <c r="D113" i="18" s="1"/>
  <c r="D125" i="18" s="1"/>
  <c r="D137" i="18" s="1"/>
  <c r="D149" i="18" s="1"/>
  <c r="D161" i="18" s="1"/>
  <c r="D185" i="18" s="1"/>
  <c r="D197" i="18" s="1"/>
  <c r="D209" i="18" s="1"/>
  <c r="B29" i="18"/>
  <c r="B28" i="18"/>
  <c r="C39" i="18"/>
  <c r="D39" i="18"/>
  <c r="D51" i="18" s="1"/>
  <c r="B27" i="18"/>
  <c r="B26" i="18"/>
  <c r="B25" i="18"/>
  <c r="B24" i="18"/>
  <c r="B23" i="18"/>
  <c r="B22" i="18"/>
  <c r="B21" i="18"/>
  <c r="D32" i="18"/>
  <c r="B16" i="18"/>
  <c r="J1" i="18"/>
  <c r="C43" i="18"/>
  <c r="B175" i="18"/>
  <c r="B174" i="18"/>
  <c r="B173" i="18"/>
  <c r="B172" i="18"/>
  <c r="B171" i="18"/>
  <c r="C38" i="18"/>
  <c r="B170" i="18"/>
  <c r="C37" i="18"/>
  <c r="C61" i="18" s="1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59" i="18" s="1"/>
  <c r="C83" i="18" s="1"/>
  <c r="C95" i="18" s="1"/>
  <c r="C107" i="18" s="1"/>
  <c r="C119" i="18" s="1"/>
  <c r="C131" i="18" s="1"/>
  <c r="C143" i="18" s="1"/>
  <c r="C155" i="18" s="1"/>
  <c r="C34" i="18"/>
  <c r="C46" i="18" s="1"/>
  <c r="C41" i="18"/>
  <c r="C65" i="18" s="1"/>
  <c r="C89" i="18" s="1"/>
  <c r="C101" i="18" s="1"/>
  <c r="C113" i="18" s="1"/>
  <c r="C125" i="18" s="1"/>
  <c r="C137" i="18" s="1"/>
  <c r="C149" i="18" s="1"/>
  <c r="C161" i="18" s="1"/>
  <c r="D36" i="18"/>
  <c r="D60" i="18" s="1"/>
  <c r="D84" i="18" s="1"/>
  <c r="D96" i="18" s="1"/>
  <c r="D108" i="18" s="1"/>
  <c r="D120" i="18" s="1"/>
  <c r="D132" i="18" s="1"/>
  <c r="D144" i="18" s="1"/>
  <c r="D156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D35" i="18"/>
  <c r="D37" i="18"/>
  <c r="D40" i="18"/>
  <c r="D52" i="18" s="1"/>
  <c r="D64" i="18"/>
  <c r="D76" i="18" s="1"/>
  <c r="D33" i="18"/>
  <c r="D57" i="18" s="1"/>
  <c r="D69" i="18" s="1"/>
  <c r="D34" i="18"/>
  <c r="D46" i="18" s="1"/>
  <c r="C54" i="18"/>
  <c r="C66" i="18"/>
  <c r="C90" i="18" s="1"/>
  <c r="C102" i="18" s="1"/>
  <c r="C114" i="18" s="1"/>
  <c r="C126" i="18" s="1"/>
  <c r="C138" i="18" s="1"/>
  <c r="C150" i="18" s="1"/>
  <c r="C162" i="18" s="1"/>
  <c r="C49" i="18"/>
  <c r="D53" i="18"/>
  <c r="C51" i="18"/>
  <c r="C63" i="18"/>
  <c r="C58" i="18"/>
  <c r="C73" i="18"/>
  <c r="C85" i="18"/>
  <c r="C97" i="18" s="1"/>
  <c r="C109" i="18" s="1"/>
  <c r="C121" i="18" s="1"/>
  <c r="C133" i="18" s="1"/>
  <c r="C145" i="18" s="1"/>
  <c r="C157" i="18" s="1"/>
  <c r="O139" i="18"/>
  <c r="O107" i="18"/>
  <c r="O175" i="18"/>
  <c r="P175" i="18" s="1"/>
  <c r="O91" i="18"/>
  <c r="P91" i="18" s="1"/>
  <c r="O99" i="18"/>
  <c r="O163" i="18"/>
  <c r="P163" i="18" s="1"/>
  <c r="O190" i="18"/>
  <c r="P190" i="18" s="1"/>
  <c r="O174" i="18"/>
  <c r="O126" i="18"/>
  <c r="P126" i="18" s="1"/>
  <c r="O110" i="18"/>
  <c r="O78" i="18"/>
  <c r="O30" i="18"/>
  <c r="O173" i="18"/>
  <c r="O157" i="18"/>
  <c r="O125" i="18"/>
  <c r="O109" i="18"/>
  <c r="O77" i="18"/>
  <c r="O61" i="18"/>
  <c r="P61" i="18" s="1"/>
  <c r="O204" i="18"/>
  <c r="O188" i="18"/>
  <c r="O140" i="18"/>
  <c r="P140" i="18" s="1"/>
  <c r="O92" i="18"/>
  <c r="O60" i="18"/>
  <c r="P60" i="18" s="1"/>
  <c r="O44" i="18"/>
  <c r="O103" i="18"/>
  <c r="O167" i="18"/>
  <c r="P167" i="18" s="1"/>
  <c r="O183" i="18"/>
  <c r="O20" i="18"/>
  <c r="O84" i="18"/>
  <c r="O104" i="18"/>
  <c r="P104" i="18" s="1"/>
  <c r="O128" i="18"/>
  <c r="P128" i="18" s="1"/>
  <c r="O148" i="18"/>
  <c r="P148" i="18" s="1"/>
  <c r="O168" i="18"/>
  <c r="O192" i="18"/>
  <c r="O21" i="18"/>
  <c r="P21" i="18" s="1"/>
  <c r="O41" i="18"/>
  <c r="O65" i="18"/>
  <c r="O85" i="18"/>
  <c r="O105" i="18"/>
  <c r="O129" i="18"/>
  <c r="O149" i="18"/>
  <c r="O169" i="18"/>
  <c r="P169" i="18" s="1"/>
  <c r="O193" i="18"/>
  <c r="P193" i="18" s="1"/>
  <c r="O22" i="18"/>
  <c r="O42" i="18"/>
  <c r="P42" i="18" s="1"/>
  <c r="O66" i="18"/>
  <c r="O86" i="18"/>
  <c r="P86" i="18" s="1"/>
  <c r="O106" i="18"/>
  <c r="P106" i="18"/>
  <c r="O130" i="18"/>
  <c r="P130" i="18" s="1"/>
  <c r="O150" i="18"/>
  <c r="P150" i="18" s="1"/>
  <c r="O170" i="18"/>
  <c r="O194" i="18"/>
  <c r="O195" i="18"/>
  <c r="P195" i="18" s="1"/>
  <c r="O115" i="18"/>
  <c r="P115" i="18" s="1"/>
  <c r="O187" i="18"/>
  <c r="O27" i="18"/>
  <c r="O79" i="18"/>
  <c r="O43" i="18"/>
  <c r="O159" i="18"/>
  <c r="P152" i="18"/>
  <c r="O75" i="18"/>
  <c r="P65" i="18"/>
  <c r="O198" i="18"/>
  <c r="P198" i="18" s="1"/>
  <c r="O147" i="18"/>
  <c r="O51" i="18"/>
  <c r="O207" i="18"/>
  <c r="O171" i="18"/>
  <c r="P171" i="18" s="1"/>
  <c r="O211" i="18"/>
  <c r="P135" i="18"/>
  <c r="O58" i="18"/>
  <c r="O114" i="18"/>
  <c r="O166" i="18"/>
  <c r="P166" i="18" s="1"/>
  <c r="O83" i="18"/>
  <c r="P83" i="18" s="1"/>
  <c r="O203" i="18"/>
  <c r="P203" i="18" s="1"/>
  <c r="P147" i="18"/>
  <c r="P146" i="18"/>
  <c r="O95" i="18"/>
  <c r="P95" i="18" s="1"/>
  <c r="O63" i="18"/>
  <c r="P63" i="18" s="1"/>
  <c r="O111" i="18"/>
  <c r="P111" i="18" s="1"/>
  <c r="O131" i="18"/>
  <c r="P131" i="18" s="1"/>
  <c r="O186" i="18"/>
  <c r="O162" i="18"/>
  <c r="P162" i="18" s="1"/>
  <c r="O134" i="18"/>
  <c r="O102" i="18"/>
  <c r="P102" i="18" s="1"/>
  <c r="O82" i="18"/>
  <c r="O54" i="18"/>
  <c r="O34" i="18"/>
  <c r="O197" i="18"/>
  <c r="P197" i="18" s="1"/>
  <c r="O165" i="18"/>
  <c r="O137" i="18"/>
  <c r="P137" i="18" s="1"/>
  <c r="O117" i="18"/>
  <c r="P117" i="18" s="1"/>
  <c r="O69" i="18"/>
  <c r="P69" i="18" s="1"/>
  <c r="O37" i="18"/>
  <c r="P37" i="18" s="1"/>
  <c r="O200" i="18"/>
  <c r="P200" i="18" s="1"/>
  <c r="O176" i="18"/>
  <c r="P176" i="18" s="1"/>
  <c r="O144" i="18"/>
  <c r="O116" i="18"/>
  <c r="P116" i="18" s="1"/>
  <c r="O88" i="18"/>
  <c r="P88" i="18" s="1"/>
  <c r="O68" i="18"/>
  <c r="O36" i="18"/>
  <c r="O55" i="18"/>
  <c r="O151" i="18"/>
  <c r="P151" i="18" s="1"/>
  <c r="O31" i="18"/>
  <c r="O158" i="18"/>
  <c r="P158" i="18" s="1"/>
  <c r="O62" i="18"/>
  <c r="O205" i="18"/>
  <c r="P205" i="18" s="1"/>
  <c r="O45" i="18"/>
  <c r="P45" i="18" s="1"/>
  <c r="O172" i="18"/>
  <c r="P172" i="18" s="1"/>
  <c r="O124" i="18"/>
  <c r="O76" i="18"/>
  <c r="P76" i="18" s="1"/>
  <c r="O28" i="18"/>
  <c r="O127" i="18"/>
  <c r="P127" i="18" s="1"/>
  <c r="O40" i="18"/>
  <c r="P40" i="18" s="1"/>
  <c r="O143" i="18"/>
  <c r="P143" i="18"/>
  <c r="O155" i="18"/>
  <c r="O179" i="18"/>
  <c r="O182" i="18"/>
  <c r="P182" i="18"/>
  <c r="O154" i="18"/>
  <c r="P154" i="18" s="1"/>
  <c r="O122" i="18"/>
  <c r="P122" i="18" s="1"/>
  <c r="O74" i="18"/>
  <c r="O50" i="18"/>
  <c r="O26" i="18"/>
  <c r="P26" i="18" s="1"/>
  <c r="O185" i="18"/>
  <c r="P185" i="18" s="1"/>
  <c r="O161" i="18"/>
  <c r="O133" i="18"/>
  <c r="P133" i="18" s="1"/>
  <c r="O113" i="18"/>
  <c r="P113" i="18" s="1"/>
  <c r="O89" i="18"/>
  <c r="O57" i="18"/>
  <c r="O33" i="18"/>
  <c r="O196" i="18"/>
  <c r="P196" i="18" s="1"/>
  <c r="O164" i="18"/>
  <c r="O136" i="18"/>
  <c r="O112" i="18"/>
  <c r="O56" i="18"/>
  <c r="O32" i="18"/>
  <c r="P32" i="18" s="1"/>
  <c r="O71" i="18"/>
  <c r="P71" i="18" s="1"/>
  <c r="O199" i="18"/>
  <c r="O47" i="18"/>
  <c r="O35" i="18"/>
  <c r="P35" i="18" s="1"/>
  <c r="O206" i="18"/>
  <c r="O142" i="18"/>
  <c r="P142" i="18" s="1"/>
  <c r="O94" i="18"/>
  <c r="P94" i="18" s="1"/>
  <c r="O46" i="18"/>
  <c r="P46" i="18" s="1"/>
  <c r="O189" i="18"/>
  <c r="P189" i="18" s="1"/>
  <c r="O141" i="18"/>
  <c r="P141" i="18" s="1"/>
  <c r="O93" i="18"/>
  <c r="O29" i="18"/>
  <c r="O156" i="18"/>
  <c r="P156" i="18" s="1"/>
  <c r="O108" i="18"/>
  <c r="O39" i="18"/>
  <c r="P39" i="18" s="1"/>
  <c r="O87" i="18"/>
  <c r="P87" i="18" s="1"/>
  <c r="O64" i="18"/>
  <c r="P64" i="18" s="1"/>
  <c r="P177" i="18"/>
  <c r="P208" i="18"/>
  <c r="P57" i="18"/>
  <c r="P165" i="18"/>
  <c r="P173" i="18"/>
  <c r="P78" i="18"/>
  <c r="E37" i="29"/>
  <c r="G24" i="29"/>
  <c r="D25" i="29"/>
  <c r="G22" i="29"/>
  <c r="G35" i="29"/>
  <c r="D29" i="29"/>
  <c r="D31" i="29"/>
  <c r="D24" i="29"/>
  <c r="G36" i="29"/>
  <c r="E26" i="29"/>
  <c r="E21" i="29"/>
  <c r="G29" i="29"/>
  <c r="E32" i="29"/>
  <c r="E28" i="29"/>
  <c r="E30" i="29"/>
  <c r="G37" i="29"/>
  <c r="D32" i="29"/>
  <c r="G23" i="29"/>
  <c r="E23" i="29"/>
  <c r="G27" i="29"/>
  <c r="G30" i="29"/>
  <c r="G26" i="29"/>
  <c r="D26" i="29"/>
  <c r="E31" i="29"/>
  <c r="D33" i="29"/>
  <c r="G28" i="29"/>
  <c r="G32" i="29"/>
  <c r="D23" i="29"/>
  <c r="E33" i="29"/>
  <c r="E25" i="29"/>
  <c r="E27" i="29"/>
  <c r="G33" i="29"/>
  <c r="E36" i="29"/>
  <c r="D21" i="29"/>
  <c r="D36" i="29"/>
  <c r="G21" i="29"/>
  <c r="E35" i="29"/>
  <c r="G31" i="29"/>
  <c r="D37" i="29"/>
  <c r="D28" i="29"/>
  <c r="D22" i="29"/>
  <c r="G25" i="29"/>
  <c r="E22" i="29"/>
  <c r="D35" i="29"/>
  <c r="E29" i="29"/>
  <c r="D27" i="29"/>
  <c r="D30" i="29"/>
  <c r="E24" i="29"/>
  <c r="D55" i="18" l="1"/>
  <c r="D63" i="18"/>
  <c r="C57" i="18"/>
  <c r="C81" i="18" s="1"/>
  <c r="C93" i="18" s="1"/>
  <c r="C105" i="18" s="1"/>
  <c r="C117" i="18" s="1"/>
  <c r="C129" i="18" s="1"/>
  <c r="C141" i="18" s="1"/>
  <c r="C153" i="18" s="1"/>
  <c r="C177" i="18" s="1"/>
  <c r="C189" i="18" s="1"/>
  <c r="C201" i="18" s="1"/>
  <c r="C78" i="18"/>
  <c r="C72" i="18"/>
  <c r="D45" i="18"/>
  <c r="C53" i="18"/>
  <c r="D54" i="18"/>
  <c r="D81" i="18"/>
  <c r="D93" i="18" s="1"/>
  <c r="D105" i="18" s="1"/>
  <c r="D117" i="18" s="1"/>
  <c r="D129" i="18" s="1"/>
  <c r="D141" i="18" s="1"/>
  <c r="D153" i="18" s="1"/>
  <c r="D165" i="18" s="1"/>
  <c r="D77" i="18"/>
  <c r="D48" i="18"/>
  <c r="C71" i="18"/>
  <c r="D62" i="18"/>
  <c r="D74" i="18" s="1"/>
  <c r="P56" i="18"/>
  <c r="E10" i="29"/>
  <c r="F10" i="29"/>
  <c r="E20" i="29"/>
  <c r="D20" i="29"/>
  <c r="C173" i="18"/>
  <c r="C185" i="18"/>
  <c r="C197" i="18" s="1"/>
  <c r="C209" i="18" s="1"/>
  <c r="C180" i="18"/>
  <c r="C192" i="18" s="1"/>
  <c r="C204" i="18" s="1"/>
  <c r="C168" i="18"/>
  <c r="D91" i="18"/>
  <c r="D103" i="18" s="1"/>
  <c r="D115" i="18" s="1"/>
  <c r="D127" i="18" s="1"/>
  <c r="D139" i="18" s="1"/>
  <c r="D151" i="18" s="1"/>
  <c r="D163" i="18" s="1"/>
  <c r="D187" i="18" s="1"/>
  <c r="D199" i="18" s="1"/>
  <c r="D211" i="18" s="1"/>
  <c r="D88" i="18"/>
  <c r="D100" i="18" s="1"/>
  <c r="D112" i="18" s="1"/>
  <c r="D124" i="18" s="1"/>
  <c r="D136" i="18" s="1"/>
  <c r="D148" i="18" s="1"/>
  <c r="D160" i="18" s="1"/>
  <c r="D58" i="18"/>
  <c r="C48" i="18"/>
  <c r="D72" i="18"/>
  <c r="C77" i="18"/>
  <c r="C47" i="18"/>
  <c r="P124" i="18"/>
  <c r="P34" i="18"/>
  <c r="P207" i="18"/>
  <c r="P183" i="18"/>
  <c r="P199" i="18"/>
  <c r="P136" i="18"/>
  <c r="P55" i="18"/>
  <c r="P54" i="18"/>
  <c r="P51" i="18"/>
  <c r="P109" i="18"/>
  <c r="P30" i="18"/>
  <c r="P48" i="18"/>
  <c r="P62" i="18"/>
  <c r="P187" i="18"/>
  <c r="P105" i="18"/>
  <c r="P89" i="18"/>
  <c r="P50" i="18"/>
  <c r="P179" i="18"/>
  <c r="P31" i="18"/>
  <c r="P144" i="18"/>
  <c r="P82" i="18"/>
  <c r="P79" i="18"/>
  <c r="P22" i="18"/>
  <c r="P149" i="18"/>
  <c r="P168" i="18"/>
  <c r="P170" i="18"/>
  <c r="P174" i="18"/>
  <c r="P202" i="18"/>
  <c r="P120" i="18"/>
  <c r="G34" i="29"/>
  <c r="E38" i="29"/>
  <c r="F29" i="29"/>
  <c r="I29" i="29" s="1"/>
  <c r="F31" i="29"/>
  <c r="I31" i="29" s="1"/>
  <c r="F22" i="29"/>
  <c r="I22" i="29" s="1"/>
  <c r="F23" i="29"/>
  <c r="I23" i="29" s="1"/>
  <c r="F36" i="29"/>
  <c r="I36" i="29" s="1"/>
  <c r="G38" i="29"/>
  <c r="F25" i="29"/>
  <c r="I25" i="29" s="1"/>
  <c r="F30" i="29"/>
  <c r="I30" i="29" s="1"/>
  <c r="F27" i="29"/>
  <c r="I27" i="29" s="1"/>
  <c r="F21" i="29"/>
  <c r="I21" i="29" s="1"/>
  <c r="D34" i="29"/>
  <c r="D38" i="29"/>
  <c r="F35" i="29"/>
  <c r="I35" i="29" s="1"/>
  <c r="F33" i="29"/>
  <c r="I33" i="29" s="1"/>
  <c r="F32" i="29"/>
  <c r="I32" i="29" s="1"/>
  <c r="H38" i="29"/>
  <c r="F37" i="29"/>
  <c r="I37" i="29" s="1"/>
  <c r="E34" i="29"/>
  <c r="F24" i="29"/>
  <c r="I24" i="29" s="1"/>
  <c r="H34" i="29"/>
  <c r="F28" i="29"/>
  <c r="I28" i="29" s="1"/>
  <c r="F26" i="29"/>
  <c r="I26" i="29" s="1"/>
  <c r="C181" i="18"/>
  <c r="C193" i="18" s="1"/>
  <c r="C205" i="18" s="1"/>
  <c r="C169" i="18"/>
  <c r="C165" i="18"/>
  <c r="C167" i="18"/>
  <c r="C179" i="18"/>
  <c r="C191" i="18" s="1"/>
  <c r="C203" i="18" s="1"/>
  <c r="D168" i="18"/>
  <c r="D180" i="18"/>
  <c r="D192" i="18" s="1"/>
  <c r="D204" i="18" s="1"/>
  <c r="C186" i="18"/>
  <c r="C198" i="18" s="1"/>
  <c r="C210" i="18" s="1"/>
  <c r="C174" i="18"/>
  <c r="C87" i="18"/>
  <c r="C99" i="18" s="1"/>
  <c r="C111" i="18" s="1"/>
  <c r="C123" i="18" s="1"/>
  <c r="C135" i="18" s="1"/>
  <c r="C147" i="18" s="1"/>
  <c r="C159" i="18" s="1"/>
  <c r="C75" i="18"/>
  <c r="D173" i="18"/>
  <c r="D75" i="18"/>
  <c r="D87" i="18"/>
  <c r="D99" i="18" s="1"/>
  <c r="D111" i="18" s="1"/>
  <c r="D123" i="18" s="1"/>
  <c r="D135" i="18" s="1"/>
  <c r="D147" i="18" s="1"/>
  <c r="D159" i="18" s="1"/>
  <c r="D44" i="18"/>
  <c r="D56" i="18"/>
  <c r="D47" i="18"/>
  <c r="D59" i="18"/>
  <c r="C55" i="18"/>
  <c r="C67" i="18"/>
  <c r="D90" i="18"/>
  <c r="D102" i="18" s="1"/>
  <c r="D114" i="18" s="1"/>
  <c r="D126" i="18" s="1"/>
  <c r="D138" i="18" s="1"/>
  <c r="D150" i="18" s="1"/>
  <c r="D162" i="18" s="1"/>
  <c r="D78" i="18"/>
  <c r="P29" i="18"/>
  <c r="P33" i="18"/>
  <c r="P186" i="18"/>
  <c r="D175" i="18"/>
  <c r="C52" i="18"/>
  <c r="C64" i="18"/>
  <c r="C82" i="18"/>
  <c r="C94" i="18" s="1"/>
  <c r="C106" i="18" s="1"/>
  <c r="C118" i="18" s="1"/>
  <c r="C130" i="18" s="1"/>
  <c r="C142" i="18" s="1"/>
  <c r="C154" i="18" s="1"/>
  <c r="C70" i="18"/>
  <c r="C56" i="18"/>
  <c r="C44" i="18"/>
  <c r="P41" i="18"/>
  <c r="P108" i="18"/>
  <c r="P206" i="18"/>
  <c r="P159" i="18"/>
  <c r="P77" i="18"/>
  <c r="D61" i="18"/>
  <c r="D49" i="18"/>
  <c r="C50" i="18"/>
  <c r="C62" i="18"/>
  <c r="P85" i="18"/>
  <c r="P194" i="18"/>
  <c r="P139" i="18"/>
  <c r="P67" i="18"/>
  <c r="P164" i="18"/>
  <c r="P160" i="18"/>
  <c r="O123" i="18"/>
  <c r="P123" i="18" s="1"/>
  <c r="O118" i="18"/>
  <c r="O70" i="18"/>
  <c r="P70" i="18" s="1"/>
  <c r="O201" i="18"/>
  <c r="P201" i="18" s="1"/>
  <c r="O153" i="18"/>
  <c r="O101" i="18"/>
  <c r="O53" i="18"/>
  <c r="P53" i="18" s="1"/>
  <c r="O184" i="18"/>
  <c r="P184" i="18" s="1"/>
  <c r="O132" i="18"/>
  <c r="O80" i="18"/>
  <c r="P80" i="18" s="1"/>
  <c r="O24" i="18"/>
  <c r="P24" i="18" s="1"/>
  <c r="P107" i="18"/>
  <c r="P74" i="18"/>
  <c r="G212" i="18"/>
  <c r="P58" i="18"/>
  <c r="P66" i="18"/>
  <c r="P211" i="18"/>
  <c r="P84" i="18"/>
  <c r="P92" i="18"/>
  <c r="P96" i="18"/>
  <c r="P110" i="18"/>
  <c r="P114" i="18"/>
  <c r="P118" i="18"/>
  <c r="P125" i="18"/>
  <c r="P129" i="18"/>
  <c r="P145" i="18"/>
  <c r="P153" i="18"/>
  <c r="P157" i="18"/>
  <c r="P161" i="18"/>
  <c r="P180" i="18"/>
  <c r="P188" i="18"/>
  <c r="P192" i="18"/>
  <c r="P204" i="18"/>
  <c r="P99" i="18"/>
  <c r="P103" i="18"/>
  <c r="P23" i="18"/>
  <c r="P27" i="18"/>
  <c r="P43" i="18"/>
  <c r="P47" i="18"/>
  <c r="P75" i="18"/>
  <c r="P93" i="18"/>
  <c r="P100" i="18"/>
  <c r="P134" i="18"/>
  <c r="P138" i="18"/>
  <c r="P209" i="18"/>
  <c r="P20" i="18"/>
  <c r="P28" i="18"/>
  <c r="P36" i="18"/>
  <c r="P44" i="18"/>
  <c r="P52" i="18"/>
  <c r="P68" i="18"/>
  <c r="P72" i="18"/>
  <c r="P101" i="18"/>
  <c r="P112" i="18"/>
  <c r="P132" i="18"/>
  <c r="P155" i="18"/>
  <c r="P178" i="18"/>
  <c r="P25" i="18"/>
  <c r="P49" i="18"/>
  <c r="P73" i="18"/>
  <c r="C69" i="18" l="1"/>
  <c r="H39" i="29"/>
  <c r="D86" i="18"/>
  <c r="D98" i="18" s="1"/>
  <c r="D110" i="18" s="1"/>
  <c r="D122" i="18" s="1"/>
  <c r="D134" i="18" s="1"/>
  <c r="D146" i="18" s="1"/>
  <c r="D158" i="18" s="1"/>
  <c r="D177" i="18"/>
  <c r="D189" i="18" s="1"/>
  <c r="D201" i="18" s="1"/>
  <c r="E39" i="29"/>
  <c r="O13" i="18"/>
  <c r="D172" i="18"/>
  <c r="D184" i="18"/>
  <c r="D196" i="18" s="1"/>
  <c r="D208" i="18" s="1"/>
  <c r="D82" i="18"/>
  <c r="D94" i="18" s="1"/>
  <c r="D106" i="18" s="1"/>
  <c r="D118" i="18" s="1"/>
  <c r="D130" i="18" s="1"/>
  <c r="D142" i="18" s="1"/>
  <c r="D154" i="18" s="1"/>
  <c r="D70" i="18"/>
  <c r="C74" i="18"/>
  <c r="C86" i="18"/>
  <c r="C98" i="18" s="1"/>
  <c r="C110" i="18" s="1"/>
  <c r="C122" i="18" s="1"/>
  <c r="C134" i="18" s="1"/>
  <c r="C146" i="18" s="1"/>
  <c r="C158" i="18" s="1"/>
  <c r="D83" i="18"/>
  <c r="D95" i="18" s="1"/>
  <c r="D107" i="18" s="1"/>
  <c r="D119" i="18" s="1"/>
  <c r="D131" i="18" s="1"/>
  <c r="D143" i="18" s="1"/>
  <c r="D155" i="18" s="1"/>
  <c r="D71" i="18"/>
  <c r="F34" i="29"/>
  <c r="O14" i="18"/>
  <c r="C178" i="18"/>
  <c r="C190" i="18" s="1"/>
  <c r="C202" i="18" s="1"/>
  <c r="C166" i="18"/>
  <c r="D186" i="18"/>
  <c r="D198" i="18" s="1"/>
  <c r="D210" i="18" s="1"/>
  <c r="D174" i="18"/>
  <c r="D171" i="18"/>
  <c r="D183" i="18"/>
  <c r="D195" i="18" s="1"/>
  <c r="D207" i="18" s="1"/>
  <c r="C183" i="18"/>
  <c r="C195" i="18" s="1"/>
  <c r="C207" i="18" s="1"/>
  <c r="C171" i="18"/>
  <c r="F38" i="29"/>
  <c r="C76" i="18"/>
  <c r="C88" i="18"/>
  <c r="C100" i="18" s="1"/>
  <c r="C112" i="18" s="1"/>
  <c r="C124" i="18" s="1"/>
  <c r="C136" i="18" s="1"/>
  <c r="C148" i="18" s="1"/>
  <c r="C160" i="18" s="1"/>
  <c r="C91" i="18"/>
  <c r="C103" i="18" s="1"/>
  <c r="C115" i="18" s="1"/>
  <c r="C127" i="18" s="1"/>
  <c r="C139" i="18" s="1"/>
  <c r="C151" i="18" s="1"/>
  <c r="C163" i="18" s="1"/>
  <c r="C79" i="18"/>
  <c r="D73" i="18"/>
  <c r="D85" i="18"/>
  <c r="D97" i="18" s="1"/>
  <c r="D109" i="18" s="1"/>
  <c r="D121" i="18" s="1"/>
  <c r="D133" i="18" s="1"/>
  <c r="D145" i="18" s="1"/>
  <c r="D157" i="18" s="1"/>
  <c r="C80" i="18"/>
  <c r="C92" i="18" s="1"/>
  <c r="C104" i="18" s="1"/>
  <c r="C116" i="18" s="1"/>
  <c r="C128" i="18" s="1"/>
  <c r="C140" i="18" s="1"/>
  <c r="C152" i="18" s="1"/>
  <c r="C68" i="18"/>
  <c r="D68" i="18"/>
  <c r="D80" i="18"/>
  <c r="D92" i="18" s="1"/>
  <c r="D104" i="18" s="1"/>
  <c r="D116" i="18" s="1"/>
  <c r="D128" i="18" s="1"/>
  <c r="D140" i="18" s="1"/>
  <c r="D152" i="18" s="1"/>
  <c r="D39" i="29"/>
  <c r="G39" i="29"/>
  <c r="P14" i="18"/>
  <c r="P212" i="18"/>
  <c r="P13" i="18"/>
  <c r="F39" i="29" l="1"/>
  <c r="D170" i="18"/>
  <c r="D182" i="18"/>
  <c r="D194" i="18" s="1"/>
  <c r="D206" i="18" s="1"/>
  <c r="D178" i="18"/>
  <c r="D190" i="18" s="1"/>
  <c r="D202" i="18" s="1"/>
  <c r="D166" i="18"/>
  <c r="C172" i="18"/>
  <c r="C184" i="18"/>
  <c r="C196" i="18" s="1"/>
  <c r="C208" i="18" s="1"/>
  <c r="I38" i="29"/>
  <c r="C170" i="18"/>
  <c r="C182" i="18"/>
  <c r="C194" i="18" s="1"/>
  <c r="C206" i="18" s="1"/>
  <c r="I34" i="29"/>
  <c r="C164" i="18"/>
  <c r="C176" i="18"/>
  <c r="C188" i="18" s="1"/>
  <c r="C200" i="18" s="1"/>
  <c r="D164" i="18"/>
  <c r="D176" i="18"/>
  <c r="D188" i="18" s="1"/>
  <c r="D200" i="18" s="1"/>
  <c r="D181" i="18"/>
  <c r="D193" i="18" s="1"/>
  <c r="D205" i="18" s="1"/>
  <c r="D169" i="18"/>
  <c r="C187" i="18"/>
  <c r="C199" i="18" s="1"/>
  <c r="C211" i="18" s="1"/>
  <c r="C175" i="18"/>
  <c r="D179" i="18"/>
  <c r="D191" i="18" s="1"/>
  <c r="D203" i="18" s="1"/>
  <c r="D167" i="18"/>
  <c r="I39" i="29" l="1"/>
  <c r="E11" i="29" l="1"/>
  <c r="K94" i="18" l="1"/>
  <c r="K144" i="18"/>
  <c r="K31" i="18"/>
  <c r="K148" i="18"/>
  <c r="K110" i="18"/>
  <c r="K155" i="18"/>
  <c r="K120" i="18"/>
  <c r="K41" i="18"/>
  <c r="K90" i="18"/>
  <c r="K83" i="18"/>
  <c r="K157" i="18"/>
  <c r="K112" i="18"/>
  <c r="K87" i="18"/>
  <c r="K57" i="18"/>
  <c r="K30" i="18"/>
  <c r="K104" i="18"/>
  <c r="K162" i="18"/>
  <c r="K21" i="18"/>
  <c r="K49" i="18"/>
  <c r="K179" i="18"/>
  <c r="K199" i="18"/>
  <c r="K208" i="18"/>
  <c r="K125" i="18"/>
  <c r="K152" i="18"/>
  <c r="K154" i="18"/>
  <c r="K55" i="18"/>
  <c r="K47" i="18"/>
  <c r="K129" i="18"/>
  <c r="K153" i="18"/>
  <c r="K74" i="18"/>
  <c r="K177" i="18"/>
  <c r="K184" i="18"/>
  <c r="K209" i="18"/>
  <c r="K42" i="18"/>
  <c r="K174" i="18"/>
  <c r="K186" i="18"/>
  <c r="K170" i="18"/>
  <c r="K158" i="18"/>
  <c r="K145" i="18"/>
  <c r="K205" i="18"/>
  <c r="K139" i="18"/>
  <c r="K27" i="18"/>
  <c r="K85" i="18"/>
  <c r="K137" i="18"/>
  <c r="K43" i="18"/>
  <c r="K165" i="18"/>
  <c r="K84" i="18"/>
  <c r="K25" i="18"/>
  <c r="K207" i="18"/>
  <c r="K69" i="18"/>
  <c r="K91" i="18"/>
  <c r="K192" i="18"/>
  <c r="K119" i="18"/>
  <c r="K122" i="18"/>
  <c r="K23" i="18"/>
  <c r="K77" i="18"/>
  <c r="K48" i="18"/>
  <c r="K39" i="18"/>
  <c r="K178" i="18"/>
  <c r="K45" i="18"/>
  <c r="K175" i="18"/>
  <c r="K126" i="18"/>
  <c r="K100" i="18"/>
  <c r="K52" i="18"/>
  <c r="K73" i="18"/>
  <c r="K28" i="18"/>
  <c r="K80" i="18"/>
  <c r="K203" i="18"/>
  <c r="K181" i="18"/>
  <c r="K130" i="18"/>
  <c r="K62" i="18"/>
  <c r="K34" i="18"/>
  <c r="K40" i="18"/>
  <c r="K206" i="18"/>
  <c r="K33" i="18"/>
  <c r="K81" i="18"/>
  <c r="K92" i="18"/>
  <c r="K189" i="18"/>
  <c r="K75" i="18"/>
  <c r="K60" i="18"/>
  <c r="K151" i="18"/>
  <c r="K65" i="18"/>
  <c r="K194" i="18"/>
  <c r="K160" i="18"/>
  <c r="K99" i="18"/>
  <c r="K118" i="18"/>
  <c r="K136" i="18"/>
  <c r="K134" i="18"/>
  <c r="K124" i="18"/>
  <c r="K173" i="18"/>
  <c r="K59" i="18"/>
  <c r="K68" i="18"/>
  <c r="K95" i="18"/>
  <c r="K97" i="18"/>
  <c r="K117" i="18"/>
  <c r="K24" i="18"/>
  <c r="K197" i="18"/>
  <c r="K191" i="18"/>
  <c r="K64" i="18"/>
  <c r="K121" i="18"/>
  <c r="K26" i="18"/>
  <c r="K56" i="18"/>
  <c r="K71" i="18"/>
  <c r="K146" i="18"/>
  <c r="K180" i="18"/>
  <c r="K159" i="18"/>
  <c r="K185" i="18"/>
  <c r="K98" i="18"/>
  <c r="K172" i="18"/>
  <c r="K169" i="18"/>
  <c r="K58" i="18"/>
  <c r="K44" i="18"/>
  <c r="K102" i="18"/>
  <c r="K66" i="18"/>
  <c r="K127" i="18"/>
  <c r="K67" i="18"/>
  <c r="K63" i="18"/>
  <c r="K142" i="18"/>
  <c r="K38" i="18"/>
  <c r="K61" i="18"/>
  <c r="K156" i="18"/>
  <c r="K141" i="18"/>
  <c r="K109" i="18"/>
  <c r="K210" i="18"/>
  <c r="K143" i="18"/>
  <c r="K88" i="18"/>
  <c r="K35" i="18"/>
  <c r="K128" i="18"/>
  <c r="K164" i="18"/>
  <c r="K201" i="18"/>
  <c r="K106" i="18"/>
  <c r="K96" i="18"/>
  <c r="K161" i="18"/>
  <c r="K149" i="18"/>
  <c r="K36" i="18"/>
  <c r="K133" i="18"/>
  <c r="K187" i="18"/>
  <c r="K46" i="18"/>
  <c r="K211" i="18"/>
  <c r="K168" i="18"/>
  <c r="K163" i="18"/>
  <c r="K114" i="18"/>
  <c r="K204" i="18"/>
  <c r="K171" i="18"/>
  <c r="K200" i="18"/>
  <c r="K188" i="18"/>
  <c r="K108" i="18"/>
  <c r="K202" i="18"/>
  <c r="K70" i="18"/>
  <c r="K116" i="18"/>
  <c r="K131" i="18"/>
  <c r="K115" i="18"/>
  <c r="K22" i="18"/>
  <c r="K140" i="18"/>
  <c r="K111" i="18"/>
  <c r="K105" i="18"/>
  <c r="K50" i="18"/>
  <c r="K132" i="18"/>
  <c r="K190" i="18"/>
  <c r="K93" i="18"/>
  <c r="K107" i="18"/>
  <c r="K113" i="18"/>
  <c r="E13" i="29"/>
  <c r="K53" i="18"/>
  <c r="K150" i="18"/>
  <c r="K78" i="18"/>
  <c r="K29" i="18"/>
  <c r="K195" i="18"/>
  <c r="K176" i="18"/>
  <c r="K32" i="18"/>
  <c r="K167" i="18"/>
  <c r="K72" i="18"/>
  <c r="K135" i="18"/>
  <c r="K37" i="18"/>
  <c r="K147" i="18"/>
  <c r="K138" i="18"/>
  <c r="K51" i="18"/>
  <c r="K123" i="18"/>
  <c r="K89" i="18"/>
  <c r="K86" i="18"/>
  <c r="K54" i="18"/>
  <c r="K103" i="18"/>
  <c r="K82" i="18"/>
  <c r="K183" i="18"/>
  <c r="K166" i="18"/>
  <c r="K101" i="18"/>
  <c r="K79" i="18"/>
  <c r="K196" i="18"/>
  <c r="K193" i="18"/>
  <c r="K198" i="18"/>
  <c r="K76" i="18"/>
  <c r="K182" i="18"/>
  <c r="K14" i="18" l="1"/>
  <c r="K212" i="18"/>
  <c r="K13" i="18"/>
  <c r="F12" i="29" l="1"/>
  <c r="I81" i="18" l="1"/>
  <c r="J81" i="18" s="1"/>
  <c r="L81" i="18" s="1"/>
  <c r="I147" i="18"/>
  <c r="J147" i="18" s="1"/>
  <c r="L147" i="18" s="1"/>
  <c r="I62" i="18"/>
  <c r="J62" i="18" s="1"/>
  <c r="L62" i="18" s="1"/>
  <c r="I45" i="18"/>
  <c r="J45" i="18" s="1"/>
  <c r="L45" i="18" s="1"/>
  <c r="I117" i="18"/>
  <c r="J117" i="18" s="1"/>
  <c r="L117" i="18" s="1"/>
  <c r="I148" i="18"/>
  <c r="J148" i="18" s="1"/>
  <c r="L148" i="18" s="1"/>
  <c r="I74" i="18"/>
  <c r="J74" i="18" s="1"/>
  <c r="L74" i="18" s="1"/>
  <c r="I30" i="18"/>
  <c r="J30" i="18" s="1"/>
  <c r="L30" i="18" s="1"/>
  <c r="I129" i="18"/>
  <c r="J129" i="18" s="1"/>
  <c r="L129" i="18" s="1"/>
  <c r="I206" i="18"/>
  <c r="J206" i="18" s="1"/>
  <c r="L206" i="18" s="1"/>
  <c r="I166" i="18"/>
  <c r="J166" i="18" s="1"/>
  <c r="L166" i="18" s="1"/>
  <c r="I190" i="18"/>
  <c r="J190" i="18" s="1"/>
  <c r="L190" i="18" s="1"/>
  <c r="I80" i="18"/>
  <c r="J80" i="18" s="1"/>
  <c r="L80" i="18" s="1"/>
  <c r="I76" i="18"/>
  <c r="J76" i="18" s="1"/>
  <c r="L76" i="18" s="1"/>
  <c r="I187" i="18"/>
  <c r="J187" i="18" s="1"/>
  <c r="L187" i="18" s="1"/>
  <c r="I178" i="18"/>
  <c r="J178" i="18" s="1"/>
  <c r="L178" i="18" s="1"/>
  <c r="I26" i="18"/>
  <c r="J26" i="18" s="1"/>
  <c r="L26" i="18" s="1"/>
  <c r="I203" i="18"/>
  <c r="J203" i="18" s="1"/>
  <c r="L203" i="18" s="1"/>
  <c r="I156" i="18"/>
  <c r="J156" i="18" s="1"/>
  <c r="L156" i="18" s="1"/>
  <c r="I68" i="18"/>
  <c r="J68" i="18" s="1"/>
  <c r="L68" i="18" s="1"/>
  <c r="I51" i="18"/>
  <c r="J51" i="18" s="1"/>
  <c r="L51" i="18" s="1"/>
  <c r="I167" i="18"/>
  <c r="J167" i="18" s="1"/>
  <c r="L167" i="18" s="1"/>
  <c r="I158" i="18"/>
  <c r="J158" i="18" s="1"/>
  <c r="L158" i="18" s="1"/>
  <c r="I199" i="18"/>
  <c r="J199" i="18" s="1"/>
  <c r="L199" i="18" s="1"/>
  <c r="I24" i="18"/>
  <c r="J24" i="18" s="1"/>
  <c r="L24" i="18" s="1"/>
  <c r="I99" i="18"/>
  <c r="J99" i="18" s="1"/>
  <c r="L99" i="18" s="1"/>
  <c r="I143" i="18"/>
  <c r="J143" i="18" s="1"/>
  <c r="L143" i="18" s="1"/>
  <c r="I34" i="18"/>
  <c r="J34" i="18" s="1"/>
  <c r="L34" i="18" s="1"/>
  <c r="I123" i="18"/>
  <c r="J123" i="18" s="1"/>
  <c r="L123" i="18" s="1"/>
  <c r="I134" i="18"/>
  <c r="J134" i="18" s="1"/>
  <c r="L134" i="18" s="1"/>
  <c r="I176" i="18"/>
  <c r="J176" i="18" s="1"/>
  <c r="L176" i="18" s="1"/>
  <c r="I53" i="18"/>
  <c r="J53" i="18" s="1"/>
  <c r="L53" i="18" s="1"/>
  <c r="I186" i="18"/>
  <c r="J186" i="18" s="1"/>
  <c r="L186" i="18" s="1"/>
  <c r="I41" i="18"/>
  <c r="J41" i="18" s="1"/>
  <c r="L41" i="18" s="1"/>
  <c r="I146" i="18"/>
  <c r="J146" i="18" s="1"/>
  <c r="L146" i="18" s="1"/>
  <c r="I182" i="18"/>
  <c r="J182" i="18" s="1"/>
  <c r="L182" i="18" s="1"/>
  <c r="I161" i="18"/>
  <c r="J161" i="18" s="1"/>
  <c r="L161" i="18" s="1"/>
  <c r="I110" i="18"/>
  <c r="J110" i="18" s="1"/>
  <c r="L110" i="18" s="1"/>
  <c r="I93" i="18"/>
  <c r="J93" i="18" s="1"/>
  <c r="L93" i="18" s="1"/>
  <c r="I200" i="18"/>
  <c r="J200" i="18" s="1"/>
  <c r="L200" i="18" s="1"/>
  <c r="I195" i="18"/>
  <c r="J195" i="18" s="1"/>
  <c r="L195" i="18" s="1"/>
  <c r="I120" i="18"/>
  <c r="J120" i="18" s="1"/>
  <c r="L120" i="18" s="1"/>
  <c r="I144" i="18"/>
  <c r="J144" i="18" s="1"/>
  <c r="L144" i="18" s="1"/>
  <c r="I55" i="18"/>
  <c r="J55" i="18" s="1"/>
  <c r="L55" i="18" s="1"/>
  <c r="I165" i="18"/>
  <c r="J165" i="18" s="1"/>
  <c r="L165" i="18" s="1"/>
  <c r="I61" i="18"/>
  <c r="J61" i="18" s="1"/>
  <c r="L61" i="18" s="1"/>
  <c r="I173" i="18"/>
  <c r="J173" i="18" s="1"/>
  <c r="L173" i="18" s="1"/>
  <c r="I170" i="18"/>
  <c r="J170" i="18" s="1"/>
  <c r="L170" i="18" s="1"/>
  <c r="I103" i="18"/>
  <c r="J103" i="18" s="1"/>
  <c r="L103" i="18" s="1"/>
  <c r="I89" i="18"/>
  <c r="J89" i="18" s="1"/>
  <c r="L89" i="18" s="1"/>
  <c r="I112" i="18"/>
  <c r="J112" i="18" s="1"/>
  <c r="L112" i="18" s="1"/>
  <c r="I85" i="18"/>
  <c r="J85" i="18" s="1"/>
  <c r="L85" i="18" s="1"/>
  <c r="I44" i="18"/>
  <c r="J44" i="18" s="1"/>
  <c r="L44" i="18" s="1"/>
  <c r="I69" i="18"/>
  <c r="J69" i="18" s="1"/>
  <c r="L69" i="18" s="1"/>
  <c r="I163" i="18"/>
  <c r="J163" i="18" s="1"/>
  <c r="L163" i="18" s="1"/>
  <c r="I191" i="18"/>
  <c r="J191" i="18" s="1"/>
  <c r="L191" i="18" s="1"/>
  <c r="I21" i="18"/>
  <c r="J21" i="18" s="1"/>
  <c r="L21" i="18" s="1"/>
  <c r="I95" i="18"/>
  <c r="J95" i="18" s="1"/>
  <c r="L95" i="18" s="1"/>
  <c r="I138" i="18"/>
  <c r="J138" i="18" s="1"/>
  <c r="L138" i="18" s="1"/>
  <c r="I192" i="18"/>
  <c r="J192" i="18" s="1"/>
  <c r="L192" i="18" s="1"/>
  <c r="I86" i="18"/>
  <c r="J86" i="18" s="1"/>
  <c r="L86" i="18" s="1"/>
  <c r="I58" i="18"/>
  <c r="J58" i="18" s="1"/>
  <c r="L58" i="18" s="1"/>
  <c r="I193" i="18"/>
  <c r="J193" i="18" s="1"/>
  <c r="L193" i="18" s="1"/>
  <c r="I141" i="18"/>
  <c r="J141" i="18" s="1"/>
  <c r="L141" i="18" s="1"/>
  <c r="I109" i="18"/>
  <c r="J109" i="18" s="1"/>
  <c r="L109" i="18" s="1"/>
  <c r="I185" i="18"/>
  <c r="J185" i="18" s="1"/>
  <c r="L185" i="18" s="1"/>
  <c r="I164" i="18"/>
  <c r="J164" i="18" s="1"/>
  <c r="L164" i="18" s="1"/>
  <c r="I208" i="18"/>
  <c r="J208" i="18" s="1"/>
  <c r="L208" i="18" s="1"/>
  <c r="I111" i="18"/>
  <c r="J111" i="18" s="1"/>
  <c r="L111" i="18" s="1"/>
  <c r="I135" i="18"/>
  <c r="J135" i="18" s="1"/>
  <c r="L135" i="18" s="1"/>
  <c r="I142" i="18"/>
  <c r="J142" i="18" s="1"/>
  <c r="L142" i="18" s="1"/>
  <c r="I79" i="18"/>
  <c r="J79" i="18" s="1"/>
  <c r="L79" i="18" s="1"/>
  <c r="I127" i="18"/>
  <c r="J127" i="18" s="1"/>
  <c r="L127" i="18" s="1"/>
  <c r="I63" i="18"/>
  <c r="J63" i="18" s="1"/>
  <c r="L63" i="18" s="1"/>
  <c r="I209" i="18"/>
  <c r="J209" i="18" s="1"/>
  <c r="L209" i="18" s="1"/>
  <c r="I188" i="18"/>
  <c r="J188" i="18" s="1"/>
  <c r="L188" i="18" s="1"/>
  <c r="I38" i="18"/>
  <c r="J38" i="18" s="1"/>
  <c r="L38" i="18" s="1"/>
  <c r="I35" i="18"/>
  <c r="J35" i="18" s="1"/>
  <c r="L35" i="18" s="1"/>
  <c r="I168" i="18"/>
  <c r="J168" i="18" s="1"/>
  <c r="L168" i="18" s="1"/>
  <c r="I153" i="18"/>
  <c r="J153" i="18" s="1"/>
  <c r="L153" i="18" s="1"/>
  <c r="I116" i="18"/>
  <c r="J116" i="18" s="1"/>
  <c r="L116" i="18" s="1"/>
  <c r="I122" i="18"/>
  <c r="J122" i="18" s="1"/>
  <c r="L122" i="18" s="1"/>
  <c r="I78" i="18"/>
  <c r="J78" i="18" s="1"/>
  <c r="L78" i="18" s="1"/>
  <c r="I184" i="18"/>
  <c r="J184" i="18" s="1"/>
  <c r="L184" i="18" s="1"/>
  <c r="I56" i="18"/>
  <c r="J56" i="18" s="1"/>
  <c r="I171" i="18"/>
  <c r="J171" i="18" s="1"/>
  <c r="L171" i="18" s="1"/>
  <c r="I149" i="18"/>
  <c r="J149" i="18" s="1"/>
  <c r="L149" i="18" s="1"/>
  <c r="I105" i="18"/>
  <c r="J105" i="18" s="1"/>
  <c r="L105" i="18" s="1"/>
  <c r="F14" i="29"/>
  <c r="I54" i="18"/>
  <c r="J54" i="18" s="1"/>
  <c r="L54" i="18" s="1"/>
  <c r="I174" i="18"/>
  <c r="J174" i="18" s="1"/>
  <c r="L174" i="18" s="1"/>
  <c r="I33" i="18"/>
  <c r="J33" i="18" s="1"/>
  <c r="L33" i="18" s="1"/>
  <c r="I27" i="18"/>
  <c r="J27" i="18" s="1"/>
  <c r="L27" i="18" s="1"/>
  <c r="I94" i="18"/>
  <c r="J94" i="18" s="1"/>
  <c r="L94" i="18" s="1"/>
  <c r="I133" i="18"/>
  <c r="J133" i="18" s="1"/>
  <c r="L133" i="18" s="1"/>
  <c r="I154" i="18"/>
  <c r="J154" i="18" s="1"/>
  <c r="L154" i="18" s="1"/>
  <c r="I130" i="18"/>
  <c r="J130" i="18" s="1"/>
  <c r="L130" i="18" s="1"/>
  <c r="I189" i="18"/>
  <c r="J189" i="18" s="1"/>
  <c r="L189" i="18" s="1"/>
  <c r="I210" i="18"/>
  <c r="J210" i="18" s="1"/>
  <c r="L210" i="18" s="1"/>
  <c r="I137" i="18"/>
  <c r="J137" i="18" s="1"/>
  <c r="L137" i="18" s="1"/>
  <c r="I115" i="18"/>
  <c r="J115" i="18" s="1"/>
  <c r="L115" i="18" s="1"/>
  <c r="I126" i="18"/>
  <c r="J126" i="18" s="1"/>
  <c r="L126" i="18" s="1"/>
  <c r="I169" i="18"/>
  <c r="J169" i="18" s="1"/>
  <c r="L169" i="18" s="1"/>
  <c r="I152" i="18"/>
  <c r="J152" i="18" s="1"/>
  <c r="L152" i="18" s="1"/>
  <c r="I151" i="18"/>
  <c r="J151" i="18" s="1"/>
  <c r="L151" i="18" s="1"/>
  <c r="I181" i="18"/>
  <c r="J181" i="18" s="1"/>
  <c r="L181" i="18" s="1"/>
  <c r="I42" i="18"/>
  <c r="J42" i="18" s="1"/>
  <c r="L42" i="18" s="1"/>
  <c r="I36" i="18"/>
  <c r="J36" i="18" s="1"/>
  <c r="L36" i="18" s="1"/>
  <c r="I204" i="18"/>
  <c r="J204" i="18" s="1"/>
  <c r="L204" i="18" s="1"/>
  <c r="I88" i="18"/>
  <c r="J88" i="18" s="1"/>
  <c r="L88" i="18" s="1"/>
  <c r="I83" i="18"/>
  <c r="J83" i="18" s="1"/>
  <c r="L83" i="18" s="1"/>
  <c r="I102" i="18"/>
  <c r="J102" i="18" s="1"/>
  <c r="L102" i="18" s="1"/>
  <c r="I177" i="18"/>
  <c r="J177" i="18" s="1"/>
  <c r="L177" i="18" s="1"/>
  <c r="I32" i="18"/>
  <c r="J32" i="18" s="1"/>
  <c r="L32" i="18" s="1"/>
  <c r="I50" i="18"/>
  <c r="J50" i="18" s="1"/>
  <c r="L50" i="18" s="1"/>
  <c r="I101" i="18"/>
  <c r="J101" i="18" s="1"/>
  <c r="L101" i="18" s="1"/>
  <c r="I160" i="18"/>
  <c r="J160" i="18" s="1"/>
  <c r="L160" i="18" s="1"/>
  <c r="I104" i="18"/>
  <c r="J104" i="18" s="1"/>
  <c r="L104" i="18" s="1"/>
  <c r="I198" i="18"/>
  <c r="J198" i="18" s="1"/>
  <c r="L198" i="18" s="1"/>
  <c r="I205" i="18"/>
  <c r="J205" i="18" s="1"/>
  <c r="L205" i="18" s="1"/>
  <c r="I70" i="18"/>
  <c r="J70" i="18" s="1"/>
  <c r="L70" i="18" s="1"/>
  <c r="I155" i="18"/>
  <c r="J155" i="18" s="1"/>
  <c r="L155" i="18" s="1"/>
  <c r="I197" i="18"/>
  <c r="J197" i="18" s="1"/>
  <c r="L197" i="18" s="1"/>
  <c r="I91" i="18"/>
  <c r="J91" i="18" s="1"/>
  <c r="L91" i="18" s="1"/>
  <c r="I66" i="18"/>
  <c r="J66" i="18" s="1"/>
  <c r="L66" i="18" s="1"/>
  <c r="I71" i="18"/>
  <c r="J71" i="18" s="1"/>
  <c r="L71" i="18" s="1"/>
  <c r="I67" i="18"/>
  <c r="J67" i="18" s="1"/>
  <c r="L67" i="18" s="1"/>
  <c r="I47" i="18"/>
  <c r="J47" i="18" s="1"/>
  <c r="L47" i="18" s="1"/>
  <c r="I107" i="18"/>
  <c r="J107" i="18" s="1"/>
  <c r="L107" i="18" s="1"/>
  <c r="I96" i="18"/>
  <c r="J96" i="18" s="1"/>
  <c r="L96" i="18" s="1"/>
  <c r="I136" i="18"/>
  <c r="J136" i="18" s="1"/>
  <c r="L136" i="18" s="1"/>
  <c r="I77" i="18"/>
  <c r="J77" i="18" s="1"/>
  <c r="L77" i="18" s="1"/>
  <c r="I100" i="18"/>
  <c r="J100" i="18" s="1"/>
  <c r="L100" i="18" s="1"/>
  <c r="I113" i="18"/>
  <c r="J113" i="18" s="1"/>
  <c r="L113" i="18" s="1"/>
  <c r="I57" i="18"/>
  <c r="J57" i="18" s="1"/>
  <c r="L57" i="18" s="1"/>
  <c r="I125" i="18"/>
  <c r="J125" i="18" s="1"/>
  <c r="L125" i="18" s="1"/>
  <c r="I20" i="18"/>
  <c r="J20" i="18" s="1"/>
  <c r="I108" i="18"/>
  <c r="J108" i="18" s="1"/>
  <c r="L108" i="18" s="1"/>
  <c r="I52" i="18"/>
  <c r="J52" i="18" s="1"/>
  <c r="L52" i="18" s="1"/>
  <c r="I114" i="18"/>
  <c r="J114" i="18" s="1"/>
  <c r="L114" i="18" s="1"/>
  <c r="I43" i="18"/>
  <c r="J43" i="18" s="1"/>
  <c r="L43" i="18" s="1"/>
  <c r="I23" i="18"/>
  <c r="J23" i="18" s="1"/>
  <c r="L23" i="18" s="1"/>
  <c r="I159" i="18"/>
  <c r="J159" i="18" s="1"/>
  <c r="L159" i="18" s="1"/>
  <c r="I82" i="18"/>
  <c r="J82" i="18" s="1"/>
  <c r="L82" i="18" s="1"/>
  <c r="I46" i="18"/>
  <c r="J46" i="18" s="1"/>
  <c r="L46" i="18" s="1"/>
  <c r="I121" i="18"/>
  <c r="J121" i="18" s="1"/>
  <c r="L121" i="18" s="1"/>
  <c r="I180" i="18"/>
  <c r="J180" i="18" s="1"/>
  <c r="L180" i="18" s="1"/>
  <c r="I119" i="18"/>
  <c r="J119" i="18" s="1"/>
  <c r="L119" i="18" s="1"/>
  <c r="I139" i="18"/>
  <c r="J139" i="18" s="1"/>
  <c r="L139" i="18" s="1"/>
  <c r="I201" i="18"/>
  <c r="J201" i="18" s="1"/>
  <c r="L201" i="18" s="1"/>
  <c r="I73" i="18"/>
  <c r="J73" i="18" s="1"/>
  <c r="L73" i="18" s="1"/>
  <c r="I39" i="18"/>
  <c r="J39" i="18" s="1"/>
  <c r="L39" i="18" s="1"/>
  <c r="I207" i="18"/>
  <c r="J207" i="18" s="1"/>
  <c r="L207" i="18" s="1"/>
  <c r="I87" i="18"/>
  <c r="J87" i="18" s="1"/>
  <c r="L87" i="18" s="1"/>
  <c r="I37" i="18"/>
  <c r="J37" i="18" s="1"/>
  <c r="L37" i="18" s="1"/>
  <c r="I124" i="18"/>
  <c r="J124" i="18" s="1"/>
  <c r="L124" i="18" s="1"/>
  <c r="I211" i="18"/>
  <c r="J211" i="18" s="1"/>
  <c r="L211" i="18" s="1"/>
  <c r="I183" i="18"/>
  <c r="J183" i="18" s="1"/>
  <c r="L183" i="18" s="1"/>
  <c r="I150" i="18"/>
  <c r="J150" i="18" s="1"/>
  <c r="L150" i="18" s="1"/>
  <c r="I162" i="18"/>
  <c r="J162" i="18" s="1"/>
  <c r="L162" i="18" s="1"/>
  <c r="I31" i="18"/>
  <c r="J31" i="18" s="1"/>
  <c r="L31" i="18" s="1"/>
  <c r="I106" i="18"/>
  <c r="J106" i="18" s="1"/>
  <c r="L106" i="18" s="1"/>
  <c r="I132" i="18"/>
  <c r="J132" i="18" s="1"/>
  <c r="L132" i="18" s="1"/>
  <c r="I84" i="18"/>
  <c r="J84" i="18" s="1"/>
  <c r="L84" i="18" s="1"/>
  <c r="I140" i="18"/>
  <c r="J140" i="18" s="1"/>
  <c r="L140" i="18" s="1"/>
  <c r="I64" i="18"/>
  <c r="J64" i="18" s="1"/>
  <c r="L64" i="18" s="1"/>
  <c r="I131" i="18"/>
  <c r="J131" i="18" s="1"/>
  <c r="L131" i="18" s="1"/>
  <c r="I179" i="18"/>
  <c r="J179" i="18" s="1"/>
  <c r="L179" i="18" s="1"/>
  <c r="I175" i="18"/>
  <c r="J175" i="18" s="1"/>
  <c r="L175" i="18" s="1"/>
  <c r="I22" i="18"/>
  <c r="J22" i="18" s="1"/>
  <c r="L22" i="18" s="1"/>
  <c r="I40" i="18"/>
  <c r="J40" i="18" s="1"/>
  <c r="L40" i="18" s="1"/>
  <c r="I72" i="18"/>
  <c r="J72" i="18" s="1"/>
  <c r="L72" i="18" s="1"/>
  <c r="I98" i="18"/>
  <c r="J98" i="18" s="1"/>
  <c r="L98" i="18" s="1"/>
  <c r="I65" i="18"/>
  <c r="J65" i="18" s="1"/>
  <c r="L65" i="18" s="1"/>
  <c r="I118" i="18"/>
  <c r="J118" i="18" s="1"/>
  <c r="L118" i="18" s="1"/>
  <c r="I90" i="18"/>
  <c r="J90" i="18" s="1"/>
  <c r="L90" i="18" s="1"/>
  <c r="I60" i="18"/>
  <c r="J60" i="18" s="1"/>
  <c r="L60" i="18" s="1"/>
  <c r="I25" i="18"/>
  <c r="J25" i="18" s="1"/>
  <c r="L25" i="18" s="1"/>
  <c r="I202" i="18"/>
  <c r="J202" i="18" s="1"/>
  <c r="L202" i="18" s="1"/>
  <c r="I28" i="18"/>
  <c r="J28" i="18" s="1"/>
  <c r="L28" i="18" s="1"/>
  <c r="I48" i="18"/>
  <c r="J48" i="18" s="1"/>
  <c r="L48" i="18" s="1"/>
  <c r="I196" i="18"/>
  <c r="J196" i="18" s="1"/>
  <c r="L196" i="18" s="1"/>
  <c r="I145" i="18"/>
  <c r="J145" i="18" s="1"/>
  <c r="L145" i="18" s="1"/>
  <c r="I128" i="18"/>
  <c r="J128" i="18" s="1"/>
  <c r="L128" i="18" s="1"/>
  <c r="I75" i="18"/>
  <c r="J75" i="18" s="1"/>
  <c r="L75" i="18" s="1"/>
  <c r="I172" i="18"/>
  <c r="J172" i="18" s="1"/>
  <c r="L172" i="18" s="1"/>
  <c r="I97" i="18"/>
  <c r="J97" i="18" s="1"/>
  <c r="L97" i="18" s="1"/>
  <c r="I157" i="18"/>
  <c r="J157" i="18" s="1"/>
  <c r="L157" i="18" s="1"/>
  <c r="I194" i="18"/>
  <c r="J194" i="18" s="1"/>
  <c r="L194" i="18" s="1"/>
  <c r="I59" i="18"/>
  <c r="J59" i="18" s="1"/>
  <c r="L59" i="18" s="1"/>
  <c r="I49" i="18"/>
  <c r="J49" i="18" s="1"/>
  <c r="L49" i="18" s="1"/>
  <c r="I92" i="18"/>
  <c r="J92" i="18" s="1"/>
  <c r="L92" i="18" s="1"/>
  <c r="I29" i="18"/>
  <c r="J29" i="18" s="1"/>
  <c r="L29" i="18" s="1"/>
  <c r="L20" i="18" l="1"/>
  <c r="J212" i="18"/>
  <c r="J14" i="18"/>
  <c r="J13" i="18"/>
  <c r="L56" i="18"/>
  <c r="L13" i="18" l="1"/>
  <c r="L212" i="18"/>
  <c r="L14" i="18"/>
  <c r="M21" i="18" l="1"/>
  <c r="N21" i="18" s="1"/>
  <c r="R21" i="18" s="1"/>
  <c r="M97" i="18"/>
  <c r="N97" i="18" s="1"/>
  <c r="R97" i="18" s="1"/>
  <c r="M53" i="18"/>
  <c r="N53" i="18" s="1"/>
  <c r="R53" i="18" s="1"/>
  <c r="M83" i="18"/>
  <c r="N83" i="18" s="1"/>
  <c r="R83" i="18" s="1"/>
  <c r="M74" i="18"/>
  <c r="N74" i="18" s="1"/>
  <c r="R74" i="18" s="1"/>
  <c r="M80" i="18"/>
  <c r="N80" i="18" s="1"/>
  <c r="R80" i="18" s="1"/>
  <c r="M198" i="18"/>
  <c r="N198" i="18" s="1"/>
  <c r="R198" i="18" s="1"/>
  <c r="M42" i="18"/>
  <c r="N42" i="18" s="1"/>
  <c r="R42" i="18" s="1"/>
  <c r="M188" i="18"/>
  <c r="N188" i="18" s="1"/>
  <c r="R188" i="18" s="1"/>
  <c r="M51" i="18"/>
  <c r="N51" i="18" s="1"/>
  <c r="R51" i="18" s="1"/>
  <c r="M159" i="18"/>
  <c r="N159" i="18" s="1"/>
  <c r="R159" i="18" s="1"/>
  <c r="M111" i="18"/>
  <c r="N111" i="18" s="1"/>
  <c r="R111" i="18" s="1"/>
  <c r="M78" i="18"/>
  <c r="N78" i="18" s="1"/>
  <c r="R78" i="18" s="1"/>
  <c r="M199" i="18"/>
  <c r="N199" i="18" s="1"/>
  <c r="R199" i="18" s="1"/>
  <c r="M206" i="18"/>
  <c r="N206" i="18" s="1"/>
  <c r="R206" i="18" s="1"/>
  <c r="M91" i="18"/>
  <c r="N91" i="18" s="1"/>
  <c r="R91" i="18" s="1"/>
  <c r="M210" i="18"/>
  <c r="N210" i="18" s="1"/>
  <c r="R210" i="18" s="1"/>
  <c r="M58" i="18"/>
  <c r="N58" i="18" s="1"/>
  <c r="R58" i="18" s="1"/>
  <c r="M44" i="18"/>
  <c r="N44" i="18" s="1"/>
  <c r="R44" i="18" s="1"/>
  <c r="M190" i="18"/>
  <c r="N190" i="18" s="1"/>
  <c r="R190" i="18" s="1"/>
  <c r="M65" i="18"/>
  <c r="N65" i="18" s="1"/>
  <c r="R65" i="18" s="1"/>
  <c r="M171" i="18"/>
  <c r="N171" i="18" s="1"/>
  <c r="R171" i="18" s="1"/>
  <c r="M29" i="18"/>
  <c r="N29" i="18" s="1"/>
  <c r="R29" i="18" s="1"/>
  <c r="M87" i="18"/>
  <c r="N87" i="18" s="1"/>
  <c r="R87" i="18" s="1"/>
  <c r="M72" i="18"/>
  <c r="N72" i="18" s="1"/>
  <c r="R72" i="18" s="1"/>
  <c r="M122" i="18"/>
  <c r="N122" i="18" s="1"/>
  <c r="R122" i="18" s="1"/>
  <c r="M27" i="18"/>
  <c r="N27" i="18" s="1"/>
  <c r="R27" i="18" s="1"/>
  <c r="M168" i="18"/>
  <c r="N168" i="18" s="1"/>
  <c r="R168" i="18" s="1"/>
  <c r="M136" i="18"/>
  <c r="N136" i="18" s="1"/>
  <c r="R136" i="18" s="1"/>
  <c r="M131" i="18"/>
  <c r="N131" i="18" s="1"/>
  <c r="R131" i="18" s="1"/>
  <c r="M105" i="18"/>
  <c r="N105" i="18" s="1"/>
  <c r="R105" i="18" s="1"/>
  <c r="M123" i="18"/>
  <c r="N123" i="18" s="1"/>
  <c r="R123" i="18" s="1"/>
  <c r="M103" i="18"/>
  <c r="N103" i="18" s="1"/>
  <c r="R103" i="18" s="1"/>
  <c r="M119" i="18"/>
  <c r="N119" i="18" s="1"/>
  <c r="R119" i="18" s="1"/>
  <c r="M24" i="18"/>
  <c r="N24" i="18" s="1"/>
  <c r="R24" i="18" s="1"/>
  <c r="M191" i="18"/>
  <c r="N191" i="18" s="1"/>
  <c r="R191" i="18" s="1"/>
  <c r="M189" i="18"/>
  <c r="N189" i="18" s="1"/>
  <c r="R189" i="18" s="1"/>
  <c r="M211" i="18"/>
  <c r="N211" i="18" s="1"/>
  <c r="R211" i="18" s="1"/>
  <c r="M60" i="18"/>
  <c r="N60" i="18" s="1"/>
  <c r="R60" i="18" s="1"/>
  <c r="M69" i="18"/>
  <c r="N69" i="18" s="1"/>
  <c r="R69" i="18" s="1"/>
  <c r="M178" i="18"/>
  <c r="N178" i="18" s="1"/>
  <c r="R178" i="18" s="1"/>
  <c r="M113" i="18"/>
  <c r="N113" i="18" s="1"/>
  <c r="R113" i="18" s="1"/>
  <c r="M56" i="18"/>
  <c r="M207" i="18"/>
  <c r="N207" i="18" s="1"/>
  <c r="R207" i="18" s="1"/>
  <c r="M208" i="18"/>
  <c r="N208" i="18" s="1"/>
  <c r="R208" i="18" s="1"/>
  <c r="M194" i="18"/>
  <c r="N194" i="18" s="1"/>
  <c r="R194" i="18" s="1"/>
  <c r="M174" i="18"/>
  <c r="N174" i="18" s="1"/>
  <c r="R174" i="18" s="1"/>
  <c r="M33" i="18"/>
  <c r="N33" i="18" s="1"/>
  <c r="R33" i="18" s="1"/>
  <c r="M102" i="18"/>
  <c r="N102" i="18" s="1"/>
  <c r="R102" i="18" s="1"/>
  <c r="M88" i="18"/>
  <c r="N88" i="18" s="1"/>
  <c r="R88" i="18" s="1"/>
  <c r="M67" i="18"/>
  <c r="N67" i="18" s="1"/>
  <c r="R67" i="18" s="1"/>
  <c r="M197" i="18"/>
  <c r="N197" i="18" s="1"/>
  <c r="R197" i="18" s="1"/>
  <c r="M81" i="18"/>
  <c r="N81" i="18" s="1"/>
  <c r="R81" i="18" s="1"/>
  <c r="M138" i="18"/>
  <c r="N138" i="18" s="1"/>
  <c r="R138" i="18" s="1"/>
  <c r="M161" i="18"/>
  <c r="N161" i="18" s="1"/>
  <c r="R161" i="18" s="1"/>
  <c r="M89" i="18"/>
  <c r="N89" i="18" s="1"/>
  <c r="R89" i="18" s="1"/>
  <c r="M205" i="18"/>
  <c r="N205" i="18" s="1"/>
  <c r="R205" i="18" s="1"/>
  <c r="M76" i="18"/>
  <c r="N76" i="18" s="1"/>
  <c r="R76" i="18" s="1"/>
  <c r="M184" i="18"/>
  <c r="N184" i="18" s="1"/>
  <c r="R184" i="18" s="1"/>
  <c r="M84" i="18"/>
  <c r="N84" i="18" s="1"/>
  <c r="R84" i="18" s="1"/>
  <c r="M117" i="18"/>
  <c r="N117" i="18" s="1"/>
  <c r="R117" i="18" s="1"/>
  <c r="M70" i="18"/>
  <c r="N70" i="18" s="1"/>
  <c r="R70" i="18" s="1"/>
  <c r="M62" i="18"/>
  <c r="N62" i="18" s="1"/>
  <c r="R62" i="18" s="1"/>
  <c r="M46" i="18"/>
  <c r="N46" i="18" s="1"/>
  <c r="R46" i="18" s="1"/>
  <c r="M93" i="18"/>
  <c r="N93" i="18" s="1"/>
  <c r="R93" i="18" s="1"/>
  <c r="M26" i="18"/>
  <c r="N26" i="18" s="1"/>
  <c r="R26" i="18" s="1"/>
  <c r="M30" i="18"/>
  <c r="N30" i="18" s="1"/>
  <c r="R30" i="18" s="1"/>
  <c r="M193" i="18"/>
  <c r="N193" i="18" s="1"/>
  <c r="R193" i="18" s="1"/>
  <c r="M108" i="18"/>
  <c r="N108" i="18" s="1"/>
  <c r="R108" i="18" s="1"/>
  <c r="M166" i="18"/>
  <c r="N166" i="18" s="1"/>
  <c r="R166" i="18" s="1"/>
  <c r="M128" i="18"/>
  <c r="N128" i="18" s="1"/>
  <c r="R128" i="18" s="1"/>
  <c r="M152" i="18"/>
  <c r="N152" i="18" s="1"/>
  <c r="R152" i="18" s="1"/>
  <c r="M95" i="18"/>
  <c r="N95" i="18" s="1"/>
  <c r="R95" i="18" s="1"/>
  <c r="M150" i="18"/>
  <c r="N150" i="18" s="1"/>
  <c r="R150" i="18" s="1"/>
  <c r="M86" i="18"/>
  <c r="N86" i="18" s="1"/>
  <c r="R86" i="18" s="1"/>
  <c r="M90" i="18"/>
  <c r="N90" i="18" s="1"/>
  <c r="R90" i="18" s="1"/>
  <c r="M181" i="18"/>
  <c r="N181" i="18" s="1"/>
  <c r="R181" i="18" s="1"/>
  <c r="M132" i="18"/>
  <c r="N132" i="18" s="1"/>
  <c r="R132" i="18" s="1"/>
  <c r="M148" i="18"/>
  <c r="N148" i="18" s="1"/>
  <c r="R148" i="18" s="1"/>
  <c r="M22" i="18"/>
  <c r="N22" i="18" s="1"/>
  <c r="R22" i="18" s="1"/>
  <c r="M172" i="18"/>
  <c r="N172" i="18" s="1"/>
  <c r="R172" i="18" s="1"/>
  <c r="M32" i="18"/>
  <c r="N32" i="18" s="1"/>
  <c r="R32" i="18" s="1"/>
  <c r="M135" i="18"/>
  <c r="N135" i="18" s="1"/>
  <c r="R135" i="18" s="1"/>
  <c r="M114" i="18"/>
  <c r="N114" i="18" s="1"/>
  <c r="R114" i="18" s="1"/>
  <c r="M115" i="18"/>
  <c r="N115" i="18" s="1"/>
  <c r="R115" i="18" s="1"/>
  <c r="M125" i="18"/>
  <c r="N125" i="18" s="1"/>
  <c r="R125" i="18" s="1"/>
  <c r="M28" i="18"/>
  <c r="N28" i="18" s="1"/>
  <c r="R28" i="18" s="1"/>
  <c r="M47" i="18"/>
  <c r="N47" i="18" s="1"/>
  <c r="R47" i="18" s="1"/>
  <c r="M176" i="18"/>
  <c r="N176" i="18" s="1"/>
  <c r="R176" i="18" s="1"/>
  <c r="M50" i="18"/>
  <c r="N50" i="18" s="1"/>
  <c r="R50" i="18" s="1"/>
  <c r="M35" i="18"/>
  <c r="N35" i="18" s="1"/>
  <c r="R35" i="18" s="1"/>
  <c r="M196" i="18"/>
  <c r="N196" i="18" s="1"/>
  <c r="R196" i="18" s="1"/>
  <c r="M173" i="18"/>
  <c r="N173" i="18" s="1"/>
  <c r="R173" i="18" s="1"/>
  <c r="M100" i="18"/>
  <c r="N100" i="18" s="1"/>
  <c r="R100" i="18" s="1"/>
  <c r="M68" i="18"/>
  <c r="N68" i="18" s="1"/>
  <c r="R68" i="18" s="1"/>
  <c r="M143" i="18"/>
  <c r="N143" i="18" s="1"/>
  <c r="R143" i="18" s="1"/>
  <c r="M75" i="18"/>
  <c r="N75" i="18" s="1"/>
  <c r="R75" i="18" s="1"/>
  <c r="M167" i="18"/>
  <c r="N167" i="18" s="1"/>
  <c r="R167" i="18" s="1"/>
  <c r="M139" i="18"/>
  <c r="N139" i="18" s="1"/>
  <c r="R139" i="18" s="1"/>
  <c r="M43" i="18"/>
  <c r="N43" i="18" s="1"/>
  <c r="R43" i="18" s="1"/>
  <c r="M187" i="18"/>
  <c r="N187" i="18" s="1"/>
  <c r="R187" i="18" s="1"/>
  <c r="M149" i="18"/>
  <c r="N149" i="18" s="1"/>
  <c r="R149" i="18" s="1"/>
  <c r="M112" i="18"/>
  <c r="N112" i="18" s="1"/>
  <c r="R112" i="18" s="1"/>
  <c r="M61" i="18"/>
  <c r="N61" i="18" s="1"/>
  <c r="R61" i="18" s="1"/>
  <c r="M141" i="18"/>
  <c r="N141" i="18" s="1"/>
  <c r="R141" i="18" s="1"/>
  <c r="M203" i="18"/>
  <c r="N203" i="18" s="1"/>
  <c r="R203" i="18" s="1"/>
  <c r="M55" i="18"/>
  <c r="N55" i="18" s="1"/>
  <c r="R55" i="18" s="1"/>
  <c r="M209" i="18"/>
  <c r="N209" i="18" s="1"/>
  <c r="R209" i="18" s="1"/>
  <c r="M163" i="18"/>
  <c r="N163" i="18" s="1"/>
  <c r="R163" i="18" s="1"/>
  <c r="M73" i="18"/>
  <c r="N73" i="18" s="1"/>
  <c r="R73" i="18" s="1"/>
  <c r="M155" i="18"/>
  <c r="N155" i="18" s="1"/>
  <c r="R155" i="18" s="1"/>
  <c r="M164" i="18"/>
  <c r="N164" i="18" s="1"/>
  <c r="R164" i="18" s="1"/>
  <c r="M64" i="18"/>
  <c r="N64" i="18" s="1"/>
  <c r="R64" i="18" s="1"/>
  <c r="M94" i="18"/>
  <c r="N94" i="18" s="1"/>
  <c r="R94" i="18" s="1"/>
  <c r="M156" i="18"/>
  <c r="N156" i="18" s="1"/>
  <c r="R156" i="18" s="1"/>
  <c r="M126" i="18"/>
  <c r="N126" i="18" s="1"/>
  <c r="R126" i="18" s="1"/>
  <c r="M200" i="18"/>
  <c r="N200" i="18" s="1"/>
  <c r="R200" i="18" s="1"/>
  <c r="M116" i="18"/>
  <c r="N116" i="18" s="1"/>
  <c r="R116" i="18" s="1"/>
  <c r="M204" i="18"/>
  <c r="N204" i="18" s="1"/>
  <c r="R204" i="18" s="1"/>
  <c r="M79" i="18"/>
  <c r="N79" i="18" s="1"/>
  <c r="R79" i="18" s="1"/>
  <c r="M85" i="18"/>
  <c r="N85" i="18" s="1"/>
  <c r="R85" i="18" s="1"/>
  <c r="M162" i="18"/>
  <c r="N162" i="18" s="1"/>
  <c r="R162" i="18" s="1"/>
  <c r="M104" i="18"/>
  <c r="N104" i="18" s="1"/>
  <c r="R104" i="18" s="1"/>
  <c r="M59" i="18"/>
  <c r="N59" i="18" s="1"/>
  <c r="R59" i="18" s="1"/>
  <c r="M52" i="18"/>
  <c r="N52" i="18" s="1"/>
  <c r="R52" i="18" s="1"/>
  <c r="M134" i="18"/>
  <c r="N134" i="18" s="1"/>
  <c r="R134" i="18" s="1"/>
  <c r="M66" i="18"/>
  <c r="N66" i="18" s="1"/>
  <c r="R66" i="18" s="1"/>
  <c r="M41" i="18"/>
  <c r="N41" i="18" s="1"/>
  <c r="R41" i="18" s="1"/>
  <c r="M23" i="18"/>
  <c r="N23" i="18" s="1"/>
  <c r="R23" i="18" s="1"/>
  <c r="M37" i="18"/>
  <c r="N37" i="18" s="1"/>
  <c r="R37" i="18" s="1"/>
  <c r="M109" i="18"/>
  <c r="N109" i="18" s="1"/>
  <c r="R109" i="18" s="1"/>
  <c r="M36" i="18"/>
  <c r="N36" i="18" s="1"/>
  <c r="R36" i="18" s="1"/>
  <c r="M202" i="18"/>
  <c r="N202" i="18" s="1"/>
  <c r="R202" i="18" s="1"/>
  <c r="M98" i="18"/>
  <c r="N98" i="18" s="1"/>
  <c r="R98" i="18" s="1"/>
  <c r="M137" i="18"/>
  <c r="N137" i="18" s="1"/>
  <c r="R137" i="18" s="1"/>
  <c r="M195" i="18"/>
  <c r="N195" i="18" s="1"/>
  <c r="R195" i="18" s="1"/>
  <c r="M185" i="18"/>
  <c r="N185" i="18" s="1"/>
  <c r="R185" i="18" s="1"/>
  <c r="M96" i="18"/>
  <c r="N96" i="18" s="1"/>
  <c r="R96" i="18" s="1"/>
  <c r="M20" i="18"/>
  <c r="M110" i="18"/>
  <c r="N110" i="18" s="1"/>
  <c r="R110" i="18" s="1"/>
  <c r="M63" i="18"/>
  <c r="N63" i="18" s="1"/>
  <c r="R63" i="18" s="1"/>
  <c r="M106" i="18"/>
  <c r="N106" i="18" s="1"/>
  <c r="R106" i="18" s="1"/>
  <c r="M39" i="18"/>
  <c r="N39" i="18" s="1"/>
  <c r="R39" i="18" s="1"/>
  <c r="M40" i="18"/>
  <c r="N40" i="18" s="1"/>
  <c r="R40" i="18" s="1"/>
  <c r="M201" i="18"/>
  <c r="N201" i="18" s="1"/>
  <c r="R201" i="18" s="1"/>
  <c r="M121" i="18"/>
  <c r="N121" i="18" s="1"/>
  <c r="R121" i="18" s="1"/>
  <c r="M34" i="18"/>
  <c r="N34" i="18" s="1"/>
  <c r="R34" i="18" s="1"/>
  <c r="M99" i="18"/>
  <c r="N99" i="18" s="1"/>
  <c r="R99" i="18" s="1"/>
  <c r="M120" i="18"/>
  <c r="N120" i="18" s="1"/>
  <c r="R120" i="18" s="1"/>
  <c r="M157" i="18"/>
  <c r="N157" i="18" s="1"/>
  <c r="R157" i="18" s="1"/>
  <c r="M154" i="18"/>
  <c r="N154" i="18" s="1"/>
  <c r="R154" i="18" s="1"/>
  <c r="M25" i="18"/>
  <c r="N25" i="18" s="1"/>
  <c r="R25" i="18" s="1"/>
  <c r="M160" i="18"/>
  <c r="N160" i="18" s="1"/>
  <c r="R160" i="18" s="1"/>
  <c r="M170" i="18"/>
  <c r="N170" i="18" s="1"/>
  <c r="R170" i="18" s="1"/>
  <c r="M146" i="18"/>
  <c r="N146" i="18" s="1"/>
  <c r="R146" i="18" s="1"/>
  <c r="M31" i="18"/>
  <c r="N31" i="18" s="1"/>
  <c r="R31" i="18" s="1"/>
  <c r="M48" i="18"/>
  <c r="N48" i="18" s="1"/>
  <c r="R48" i="18" s="1"/>
  <c r="M182" i="18"/>
  <c r="N182" i="18" s="1"/>
  <c r="R182" i="18" s="1"/>
  <c r="M142" i="18"/>
  <c r="N142" i="18" s="1"/>
  <c r="R142" i="18" s="1"/>
  <c r="M101" i="18"/>
  <c r="N101" i="18" s="1"/>
  <c r="R101" i="18" s="1"/>
  <c r="M57" i="18"/>
  <c r="N57" i="18" s="1"/>
  <c r="R57" i="18" s="1"/>
  <c r="M54" i="18"/>
  <c r="N54" i="18" s="1"/>
  <c r="R54" i="18" s="1"/>
  <c r="M118" i="18"/>
  <c r="N118" i="18" s="1"/>
  <c r="R118" i="18" s="1"/>
  <c r="M124" i="18"/>
  <c r="N124" i="18" s="1"/>
  <c r="R124" i="18" s="1"/>
  <c r="M192" i="18"/>
  <c r="N192" i="18" s="1"/>
  <c r="R192" i="18" s="1"/>
  <c r="M38" i="18"/>
  <c r="N38" i="18" s="1"/>
  <c r="R38" i="18" s="1"/>
  <c r="M145" i="18"/>
  <c r="N145" i="18" s="1"/>
  <c r="R145" i="18" s="1"/>
  <c r="M82" i="18"/>
  <c r="N82" i="18" s="1"/>
  <c r="R82" i="18" s="1"/>
  <c r="M92" i="18"/>
  <c r="N92" i="18" s="1"/>
  <c r="R92" i="18" s="1"/>
  <c r="M133" i="18"/>
  <c r="N133" i="18" s="1"/>
  <c r="R133" i="18" s="1"/>
  <c r="M144" i="18"/>
  <c r="N144" i="18" s="1"/>
  <c r="R144" i="18" s="1"/>
  <c r="M45" i="18"/>
  <c r="N45" i="18" s="1"/>
  <c r="R45" i="18" s="1"/>
  <c r="M186" i="18"/>
  <c r="N186" i="18" s="1"/>
  <c r="R186" i="18" s="1"/>
  <c r="M183" i="18"/>
  <c r="N183" i="18" s="1"/>
  <c r="R183" i="18" s="1"/>
  <c r="M49" i="18"/>
  <c r="N49" i="18" s="1"/>
  <c r="R49" i="18" s="1"/>
  <c r="M140" i="18"/>
  <c r="N140" i="18" s="1"/>
  <c r="R140" i="18" s="1"/>
  <c r="M151" i="18"/>
  <c r="N151" i="18" s="1"/>
  <c r="R151" i="18" s="1"/>
  <c r="M127" i="18"/>
  <c r="N127" i="18" s="1"/>
  <c r="R127" i="18" s="1"/>
  <c r="M107" i="18"/>
  <c r="N107" i="18" s="1"/>
  <c r="R107" i="18" s="1"/>
  <c r="M71" i="18"/>
  <c r="N71" i="18" s="1"/>
  <c r="R71" i="18" s="1"/>
  <c r="M147" i="18"/>
  <c r="N147" i="18" s="1"/>
  <c r="R147" i="18" s="1"/>
  <c r="M153" i="18"/>
  <c r="N153" i="18" s="1"/>
  <c r="R153" i="18" s="1"/>
  <c r="M165" i="18"/>
  <c r="N165" i="18" s="1"/>
  <c r="R165" i="18" s="1"/>
  <c r="M175" i="18"/>
  <c r="N175" i="18" s="1"/>
  <c r="R175" i="18" s="1"/>
  <c r="M169" i="18"/>
  <c r="N169" i="18" s="1"/>
  <c r="R169" i="18" s="1"/>
  <c r="M130" i="18"/>
  <c r="N130" i="18" s="1"/>
  <c r="R130" i="18" s="1"/>
  <c r="M77" i="18"/>
  <c r="N77" i="18" s="1"/>
  <c r="R77" i="18" s="1"/>
  <c r="M180" i="18"/>
  <c r="N180" i="18" s="1"/>
  <c r="R180" i="18" s="1"/>
  <c r="M179" i="18"/>
  <c r="N179" i="18" s="1"/>
  <c r="R179" i="18" s="1"/>
  <c r="M158" i="18"/>
  <c r="N158" i="18" s="1"/>
  <c r="R158" i="18" s="1"/>
  <c r="M177" i="18"/>
  <c r="N177" i="18" s="1"/>
  <c r="R177" i="18" s="1"/>
  <c r="M129" i="18"/>
  <c r="N129" i="18" s="1"/>
  <c r="R129" i="18" s="1"/>
  <c r="M212" i="18" l="1"/>
  <c r="N20" i="18"/>
  <c r="M13" i="18"/>
  <c r="N56" i="18"/>
  <c r="R56" i="18" l="1"/>
  <c r="R13" i="18" s="1"/>
  <c r="N13" i="18"/>
  <c r="N14" i="18"/>
  <c r="R20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<sst xmlns="http://schemas.openxmlformats.org/spreadsheetml/2006/main" count="442" uniqueCount="106">
  <si>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</si>
  <si>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</si>
  <si>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</si>
  <si>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</si>
  <si>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</si>
  <si>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</si>
  <si>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</si>
  <si>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</si>
  <si>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</si>
  <si>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</si>
  <si>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</si>
  <si>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</si>
  <si>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</si>
  <si>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</si>
  <si>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</si>
  <si>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</si>
  <si>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</si>
  <si>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</si>
  <si>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</si>
  <si>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</si>
  <si>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</si>
  <si>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</si>
  <si>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</si>
  <si>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</si>
  <si>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</si>
  <si>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</si>
  <si>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</si>
  <si>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</si>
  <si>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</si>
  <si>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</si>
  <si>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</si>
  <si>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</si>
  <si>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</si>
  <si>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</si>
  <si>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</si>
  <si>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</si>
  <si>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</si>
  <si>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</si>
  <si>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</si>
  <si>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</si>
  <si>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</si>
  <si>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</si>
  <si>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</si>
  <si>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</si>
  <si>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</si>
  <si>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</si>
  <si>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</si>
  <si>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</si>
  <si>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</si>
  <si>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</si>
  <si>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</si>
  <si>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</si>
  <si>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</si>
  <si>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</si>
  <si>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</si>
  <si>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</si>
  <si>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</si>
  <si>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</si>
  <si>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</si>
  <si>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</si>
  <si>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</si>
  <si>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</si>
  <si>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</si>
  <si>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</si>
  <si>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</si>
  <si>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</si>
  <si>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</si>
  <si>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</si>
  <si>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</si>
  <si>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</si>
  <si>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</si>
  <si>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</si>
  <si>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</si>
  <si>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</si>
  <si>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</si>
  <si>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</si>
  <si>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</si>
  <si>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</si>
  <si>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</si>
  <si>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</si>
  <si>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</si>
  <si>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</si>
  <si>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</si>
  <si>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</si>
  <si>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 xml:space="preserve">    &lt;&lt; OKLAHOMA TRANSMISSION COMPANY &gt;&gt;</t>
  </si>
  <si>
    <t>AEP Oklahoma Transco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</si>
  <si>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</si>
  <si>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</si>
  <si>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</si>
  <si>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</si>
  <si>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</si>
  <si>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</si>
  <si>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</si>
  <si>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</si>
  <si>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</si>
  <si>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</si>
  <si>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</si>
  <si>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</si>
  <si>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AEPTCo Formula Rate -- FERC Docket ER18-194</t>
  </si>
  <si>
    <t>Total</t>
  </si>
  <si>
    <t>OKT</t>
  </si>
  <si>
    <t>SWT</t>
  </si>
  <si>
    <t>2021 NOLC Refund Amount with Interest (NITS)</t>
  </si>
  <si>
    <t>2021 Load Share</t>
  </si>
  <si>
    <t>20XX Formal Challenge Refund with Interest</t>
  </si>
  <si>
    <t xml:space="preserve"> True Up Including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</si>
</sst>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  <numFmt numFmtId="169" formatCode="0E+00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2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0" fontId="0" fillId="0" borderId="26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7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8" xfId="2" applyNumberFormat="1" applyFont="1" applyBorder="1" applyAlignment="1" applyProtection="1">
      <alignment vertical="center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166" fontId="0" fillId="0" borderId="0" xfId="0" applyNumberForma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1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1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2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7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1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1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1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3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2" xfId="0" applyNumberFormat="1" applyFont="1" applyBorder="1" applyAlignment="1" applyProtection="1">
      <alignment horizontal="center" vertical="center" wrapText="1"/>
    </xf>
    <xf numFmtId="164" fontId="4" fillId="0" borderId="33" xfId="0" applyNumberFormat="1" applyFont="1" applyBorder="1" applyAlignment="1" applyProtection="1">
      <alignment horizontal="center" vertical="center" wrapText="1"/>
    </xf>
    <xf numFmtId="164" fontId="4" fillId="0" borderId="27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4" xfId="0" applyNumberFormat="1" applyBorder="1" applyAlignment="1" applyProtection="1">
      <alignment horizontal="center"/>
    </xf>
    <xf numFmtId="14" fontId="1" fillId="0" borderId="34" xfId="0" applyNumberFormat="1" applyFont="1" applyFill="1" applyBorder="1" applyProtection="1"/>
    <xf numFmtId="14" fontId="7" fillId="2" borderId="34" xfId="0" applyNumberFormat="1" applyFont="1" applyFill="1" applyBorder="1" applyAlignment="1" applyProtection="1">
      <alignment horizontal="left"/>
    </xf>
    <xf numFmtId="0" fontId="0" fillId="0" borderId="34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4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64" fontId="1" fillId="0" borderId="33" xfId="0" applyNumberFormat="1" applyFont="1" applyBorder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44" fontId="0" fillId="0" borderId="0" xfId="0" applyNumberFormat="1" applyProtection="1"/>
    <xf numFmtId="9" fontId="0" fillId="0" borderId="0" xfId="4" applyNumberFormat="1" applyFont="1" applyProtection="1"/>
    <xf numFmtId="169" fontId="0" fillId="0" borderId="0" xfId="0" applyNumberFormat="1" applyProtection="1"/>
    <xf numFmtId="167" fontId="7" fillId="6" borderId="0" xfId="0" applyNumberFormat="1" applyFont="1" applyFill="1" applyBorder="1" applyAlignment="1" applyProtection="1">
      <alignment horizontal="right"/>
    </xf>
    <xf numFmtId="164" fontId="7" fillId="6" borderId="0" xfId="0" applyNumberFormat="1" applyFont="1" applyFill="1" applyBorder="1" applyAlignment="1" applyProtection="1">
      <alignment horizontal="right"/>
    </xf>
    <xf numFmtId="167" fontId="7" fillId="6" borderId="25" xfId="0" applyNumberFormat="1" applyFont="1" applyFill="1" applyBorder="1" applyAlignment="1" applyProtection="1">
      <alignment horizont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0" fontId="24" fillId="0" borderId="0" xfId="4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3" xfId="0" quotePrefix="1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3" xfId="0" quotePrefix="1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0" fontId="1" fillId="0" borderId="0" xfId="5"/>
    <xf numFmtId="37" fontId="0" fillId="0" borderId="0" xfId="6" applyNumberFormat="1" applyFont="1"/>
    <xf numFmtId="37" fontId="1" fillId="0" borderId="0" xfId="5" applyNumberFormat="1"/>
    <xf numFmtId="0" fontId="1" fillId="0" borderId="35" xfId="5" applyBorder="1"/>
    <xf numFmtId="168" fontId="0" fillId="0" borderId="0" xfId="7" applyNumberFormat="1" applyFont="1" applyBorder="1" applyAlignment="1" applyProtection="1">
      <alignment horizontal="left"/>
    </xf>
    <xf numFmtId="0" fontId="1" fillId="0" borderId="36" xfId="5" quotePrefix="1" applyBorder="1" applyAlignment="1">
      <alignment horizontal="left"/>
    </xf>
    <xf numFmtId="168" fontId="0" fillId="0" borderId="0" xfId="7" quotePrefix="1" applyNumberFormat="1" applyFont="1" applyBorder="1" applyAlignment="1" applyProtection="1">
      <alignment horizontal="left"/>
    </xf>
    <xf numFmtId="0" fontId="1" fillId="0" borderId="36" xfId="5" applyBorder="1"/>
    <xf numFmtId="0" fontId="1" fillId="0" borderId="37" xfId="5" applyBorder="1"/>
    <xf numFmtId="0" fontId="9" fillId="3" borderId="38" xfId="5" quotePrefix="1" applyFont="1" applyFill="1" applyBorder="1" applyAlignment="1">
      <alignment horizontal="left" vertical="center" wrapText="1"/>
    </xf>
    <xf numFmtId="168" fontId="9" fillId="3" borderId="0" xfId="7" quotePrefix="1" applyNumberFormat="1" applyFont="1" applyFill="1" applyBorder="1" applyAlignment="1" applyProtection="1">
      <alignment horizontal="left" vertical="center" wrapText="1"/>
    </xf>
    <xf numFmtId="37" fontId="9" fillId="3" borderId="0" xfId="7" quotePrefix="1" applyNumberFormat="1" applyFont="1" applyFill="1" applyBorder="1" applyAlignment="1" applyProtection="1">
      <alignment vertical="center" wrapText="1"/>
    </xf>
    <xf numFmtId="0" fontId="1" fillId="0" borderId="39" xfId="5" quotePrefix="1" applyBorder="1" applyAlignment="1">
      <alignment horizontal="left"/>
    </xf>
    <xf numFmtId="0" fontId="9" fillId="3" borderId="23" xfId="5" quotePrefix="1" applyFont="1" applyFill="1" applyBorder="1" applyAlignment="1">
      <alignment horizontal="left" vertical="center" wrapText="1"/>
    </xf>
    <xf numFmtId="37" fontId="9" fillId="3" borderId="23" xfId="5" quotePrefix="1" applyNumberFormat="1" applyFont="1" applyFill="1" applyBorder="1" applyAlignment="1">
      <alignment vertical="center" wrapText="1"/>
    </xf>
    <xf numFmtId="0" fontId="9" fillId="0" borderId="40" xfId="5" quotePrefix="1" applyFont="1" applyBorder="1" applyAlignment="1">
      <alignment horizontal="center" vertical="center" wrapText="1"/>
    </xf>
    <xf numFmtId="0" fontId="9" fillId="0" borderId="0" xfId="5" quotePrefix="1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6" fontId="25" fillId="0" borderId="0" xfId="0" applyNumberFormat="1" applyFont="1" applyProtection="1"/>
    <xf numFmtId="0" fontId="0" fillId="0" borderId="0" xfId="0" applyAlignment="1">
      <alignment horizontal="center" wrapText="1"/>
    </xf>
    <xf numFmtId="0" fontId="0" fillId="0" borderId="41" xfId="0" applyBorder="1" applyProtection="1"/>
    <xf numFmtId="0" fontId="0" fillId="0" borderId="42" xfId="0" applyBorder="1" applyProtection="1"/>
    <xf numFmtId="0" fontId="0" fillId="0" borderId="41" xfId="0" pivotButton="1" applyBorder="1" applyProtection="1"/>
    <xf numFmtId="0" fontId="0" fillId="0" borderId="43" xfId="0" applyBorder="1" applyProtection="1"/>
    <xf numFmtId="17" fontId="0" fillId="0" borderId="41" xfId="0" applyNumberFormat="1" applyBorder="1" applyProtection="1"/>
    <xf numFmtId="17" fontId="0" fillId="0" borderId="44" xfId="0" applyNumberFormat="1" applyBorder="1" applyProtection="1"/>
    <xf numFmtId="17" fontId="0" fillId="0" borderId="45" xfId="0" applyNumberFormat="1" applyBorder="1" applyProtection="1"/>
    <xf numFmtId="166" fontId="0" fillId="0" borderId="41" xfId="0" applyNumberFormat="1" applyBorder="1" applyProtection="1"/>
    <xf numFmtId="166" fontId="0" fillId="0" borderId="44" xfId="0" applyNumberFormat="1" applyBorder="1" applyProtection="1"/>
    <xf numFmtId="166" fontId="0" fillId="0" borderId="45" xfId="0" applyNumberFormat="1" applyBorder="1" applyProtection="1"/>
    <xf numFmtId="0" fontId="0" fillId="0" borderId="46" xfId="0" applyBorder="1" applyProtection="1"/>
    <xf numFmtId="0" fontId="0" fillId="0" borderId="47" xfId="0" applyBorder="1" applyProtection="1"/>
    <xf numFmtId="166" fontId="25" fillId="0" borderId="47" xfId="0" applyNumberFormat="1" applyFont="1" applyBorder="1" applyProtection="1"/>
    <xf numFmtId="166" fontId="25" fillId="0" borderId="48" xfId="0" applyNumberFormat="1" applyFont="1" applyBorder="1" applyProtection="1"/>
    <xf numFmtId="166" fontId="0" fillId="0" borderId="47" xfId="0" applyNumberFormat="1" applyBorder="1" applyProtection="1"/>
    <xf numFmtId="166" fontId="0" fillId="0" borderId="48" xfId="0" applyNumberFormat="1" applyBorder="1" applyProtection="1"/>
    <xf numFmtId="166" fontId="25" fillId="0" borderId="41" xfId="0" applyNumberFormat="1" applyFont="1" applyBorder="1" applyProtection="1"/>
    <xf numFmtId="166" fontId="25" fillId="0" borderId="44" xfId="0" applyNumberFormat="1" applyFont="1" applyBorder="1" applyProtection="1"/>
    <xf numFmtId="166" fontId="25" fillId="0" borderId="45" xfId="0" applyNumberFormat="1" applyFont="1" applyBorder="1" applyProtection="1"/>
    <xf numFmtId="0" fontId="0" fillId="0" borderId="49" xfId="0" applyBorder="1" applyProtection="1"/>
    <xf numFmtId="0" fontId="0" fillId="0" borderId="50" xfId="0" applyBorder="1" applyProtection="1"/>
    <xf numFmtId="166" fontId="0" fillId="0" borderId="49" xfId="0" applyNumberFormat="1" applyBorder="1" applyProtection="1"/>
    <xf numFmtId="166" fontId="0" fillId="0" borderId="51" xfId="0" applyNumberFormat="1" applyBorder="1" applyProtection="1"/>
    <xf numFmtId="166" fontId="0" fillId="0" borderId="52" xfId="0" applyNumberForma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8">
    <cellStyle name="Comma" xfId="1" builtinId="3"/>
    <cellStyle name="Comma 2" xfId="6" xr:uid="{10E26044-48CC-47B9-A04E-4B6C290B79BA}"/>
    <cellStyle name="Currency" xfId="2" builtinId="4"/>
    <cellStyle name="Normal" xfId="0" builtinId="0"/>
    <cellStyle name="Normal 2" xfId="3" xr:uid="{00000000-0005-0000-0000-000003000000}"/>
    <cellStyle name="Normal 3" xfId="5" xr:uid="{A0772DD8-57D0-449E-86D3-0F468C05B104}"/>
    <cellStyle name="Percent" xfId="4" builtinId="5"/>
    <cellStyle name="Percent 2" xfId="7" xr:uid="{C7953636-823C-42AB-B200-87D0CEA2420E}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5747" refreshedDate="45800.595475000002" createdVersion="6" refreshedVersion="8" recordCount="192" xr:uid="{00000000-000A-0000-FFFF-FFFFAE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4-12-02T00:00:00" count="180"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3-01-01T00:00:00" u="1"/>
        <d v="2023-02-01T00:00:00" u="1"/>
        <d v="2023-03-01T00:00:00" u="1"/>
        <d v="2023-04-01T00:00:00" u="1"/>
        <d v="2023-05-01T00:00:00" u="1"/>
        <d v="2023-06-01T00:00:00" u="1"/>
        <d v="2023-07-01T00:00:00" u="1"/>
        <d v="2023-08-01T00:00:00" u="1"/>
        <d v="2023-09-01T00:00:00" u="1"/>
        <d v="2023-10-01T00:00:00" u="1"/>
        <d v="2023-11-01T00:00:00" u="1"/>
        <d v="2023-12-01T00:00:00" u="1"/>
        <d v="2022-01-01T00:00:00" u="1"/>
        <d v="2022-02-01T00:00:00" u="1"/>
        <d v="2022-03-01T00:00:00" u="1"/>
        <d v="2022-04-01T00:00:00" u="1"/>
        <d v="2022-05-01T00:00:00" u="1"/>
        <d v="2022-06-01T00:00:00" u="1"/>
        <d v="2022-07-01T00:00:00" u="1"/>
        <d v="2022-08-01T00:00:00" u="1"/>
        <d v="2022-09-01T00:00:00" u="1"/>
        <d v="2022-10-01T00:00:00" u="1"/>
        <d v="2022-11-01T00:00:00" u="1"/>
        <d v="2022-12-01T00:00:00" u="1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4-02-05T00:00:00" maxDate="2025-01-04T00:00:00"/>
    </cacheField>
    <cacheField name="Payment Received*" numFmtId="14">
      <sharedItems containsSemiMixedTypes="0" containsNonDate="0" containsDate="1" containsString="0" minDate="2024-02-26T00:00:00" maxDate="2025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151"/>
    </cacheField>
    <cacheField name="Projected Rate (as Invoiced)" numFmtId="164">
      <sharedItems containsSemiMixedTypes="0" containsString="0" containsNumber="1" minValue="1702.5353974612706" maxValue="1702.5353974612706"/>
    </cacheField>
    <cacheField name="Actual True-Up Rate" numFmtId="164">
      <sharedItems containsSemiMixedTypes="0" containsString="0" containsNumber="1" minValue="1533.3045093675044" maxValue="1533.3045093675044"/>
    </cacheField>
    <cacheField name="True-Up Charge" numFmtId="164">
      <sharedItems containsSemiMixedTypes="0" containsString="0" containsNumber="1" minValue="1533.3045093675044" maxValue="6364747.0183845107"/>
    </cacheField>
    <cacheField name="Invoiced*** Charge (proj.)" numFmtId="164">
      <sharedItems containsSemiMixedTypes="0" containsString="0" containsNumber="1" minValue="1702.5353974612706" maxValue="7067224.4348617345"/>
    </cacheField>
    <cacheField name="True-Up w/o Interest" numFmtId="164">
      <sharedItems containsSemiMixedTypes="0" containsString="0" containsNumber="1" minValue="-702477.41647722386" maxValue="-169.23088809376623"/>
    </cacheField>
    <cacheField name="Interest" numFmtId="164">
      <sharedItems containsSemiMixedTypes="0" containsString="0" containsNumber="1" minValue="-56014.518057393208" maxValue="-13.494222610790944"/>
    </cacheField>
    <cacheField name=" True Up Including Interest" numFmtId="164">
      <sharedItems containsSemiMixedTypes="0" containsString="0" containsNumber="1" minValue="-758491.93453461712" maxValue="-182.72511070455718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758491.93453461712" maxValue="-182.725110704557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4-02-05T00:00:00"/>
    <d v="2024-02-26T00:00:00"/>
    <x v="0"/>
    <n v="9"/>
    <n v="3252"/>
    <n v="1702.5353974612706"/>
    <n v="1533.3045093675044"/>
    <n v="4986306.2644631239"/>
    <n v="5536645.1125440523"/>
    <n v="-550338.84808092844"/>
    <n v="-43883.211930292149"/>
    <n v="-594222.06001122063"/>
    <n v="0"/>
    <n v="0"/>
    <n v="0"/>
    <n v="-594222.06001122063"/>
  </r>
  <r>
    <x v="1"/>
    <d v="2024-03-05T00:00:00"/>
    <d v="2024-03-25T00:00:00"/>
    <x v="0"/>
    <n v="9"/>
    <n v="2338"/>
    <n v="1702.5353974612706"/>
    <n v="1533.3045093675044"/>
    <n v="3584865.9429012253"/>
    <n v="3980527.7592644505"/>
    <n v="-395661.81636322523"/>
    <n v="-31549.492464029227"/>
    <n v="-427211.30882725446"/>
    <n v="0"/>
    <n v="0"/>
    <n v="0"/>
    <n v="-427211.30882725446"/>
  </r>
  <r>
    <x v="2"/>
    <d v="2024-04-03T00:00:00"/>
    <d v="2024-04-24T00:00:00"/>
    <x v="0"/>
    <n v="9"/>
    <n v="2216"/>
    <n v="1702.5353974612706"/>
    <n v="1533.3045093675044"/>
    <n v="3397802.7927583898"/>
    <n v="3772818.4407741758"/>
    <n v="-375015.64801578596"/>
    <n v="-29903.197305512727"/>
    <n v="-404918.84532129869"/>
    <n v="0"/>
    <n v="0"/>
    <n v="0"/>
    <n v="-404918.84532129869"/>
  </r>
  <r>
    <x v="3"/>
    <d v="2024-05-03T00:00:00"/>
    <d v="2024-05-24T00:00:00"/>
    <x v="0"/>
    <n v="9"/>
    <n v="2777"/>
    <n v="1702.5353974612706"/>
    <n v="1533.3045093675044"/>
    <n v="4257986.6225135596"/>
    <n v="4727940.7987499489"/>
    <n v="-469954.1762363892"/>
    <n v="-37473.456190166449"/>
    <n v="-507427.63242655568"/>
    <n v="0"/>
    <n v="0"/>
    <n v="0"/>
    <n v="-507427.63242655568"/>
  </r>
  <r>
    <x v="4"/>
    <d v="2024-06-05T00:00:00"/>
    <d v="2024-06-24T00:00:00"/>
    <x v="0"/>
    <n v="9"/>
    <n v="3245"/>
    <n v="1702.5353974612706"/>
    <n v="1533.3045093675044"/>
    <n v="4975573.1328975512"/>
    <n v="5524727.3647618229"/>
    <n v="-549154.23186427169"/>
    <n v="-43788.752372016606"/>
    <n v="-592942.98423628835"/>
    <n v="0"/>
    <n v="0"/>
    <n v="0"/>
    <n v="-592942.98423628835"/>
  </r>
  <r>
    <x v="5"/>
    <d v="2024-07-03T00:00:00"/>
    <d v="2024-07-24T00:00:00"/>
    <x v="0"/>
    <n v="9"/>
    <n v="4080"/>
    <n v="1702.5353974612706"/>
    <n v="1533.3045093675044"/>
    <n v="6255882.3982194178"/>
    <n v="6946344.421641984"/>
    <n v="-690462.02342256624"/>
    <n v="-55056.428252027043"/>
    <n v="-745518.45167459326"/>
    <n v="0"/>
    <n v="0"/>
    <n v="0"/>
    <n v="-745518.45167459326"/>
  </r>
  <r>
    <x v="6"/>
    <d v="2024-08-05T00:00:00"/>
    <d v="2024-08-26T00:00:00"/>
    <x v="0"/>
    <n v="9"/>
    <n v="4149"/>
    <n v="1702.5353974612706"/>
    <n v="1533.3045093675044"/>
    <n v="6361680.409365776"/>
    <n v="7063819.3640668113"/>
    <n v="-702138.95470103528"/>
    <n v="-55987.529612171616"/>
    <n v="-758126.48431320686"/>
    <n v="0"/>
    <n v="0"/>
    <n v="0"/>
    <n v="-758126.48431320686"/>
  </r>
  <r>
    <x v="7"/>
    <d v="2024-09-04T00:00:00"/>
    <d v="2024-09-24T00:00:00"/>
    <x v="0"/>
    <n v="9"/>
    <n v="4151"/>
    <n v="1702.5353974612706"/>
    <n v="1533.3045093675044"/>
    <n v="6364747.0183845107"/>
    <n v="7067224.4348617345"/>
    <n v="-702477.41647722386"/>
    <n v="-56014.518057393208"/>
    <n v="-758491.93453461712"/>
    <n v="0"/>
    <n v="0"/>
    <n v="0"/>
    <n v="-758491.93453461712"/>
  </r>
  <r>
    <x v="8"/>
    <d v="2024-10-03T00:00:00"/>
    <d v="2024-10-24T00:00:00"/>
    <x v="0"/>
    <n v="9"/>
    <n v="3859"/>
    <n v="1702.5353974612706"/>
    <n v="1533.3045093675044"/>
    <n v="5917022.1016491996"/>
    <n v="6570084.0988030434"/>
    <n v="-653061.99715384375"/>
    <n v="-52074.20505504225"/>
    <n v="-705136.20220888604"/>
    <n v="0"/>
    <n v="0"/>
    <n v="0"/>
    <n v="-705136.20220888604"/>
  </r>
  <r>
    <x v="9"/>
    <d v="2024-11-05T00:00:00"/>
    <d v="2024-11-25T00:00:00"/>
    <x v="0"/>
    <n v="9"/>
    <n v="3429"/>
    <n v="1702.5353974612706"/>
    <n v="1533.3045093675044"/>
    <n v="5257701.1626211721"/>
    <n v="5837993.8778946968"/>
    <n v="-580292.71527352463"/>
    <n v="-46271.689332402144"/>
    <n v="-626564.40460592683"/>
    <n v="0"/>
    <n v="0"/>
    <n v="0"/>
    <n v="-626564.40460592683"/>
  </r>
  <r>
    <x v="10"/>
    <d v="2024-12-04T00:00:00"/>
    <d v="2024-12-24T00:00:00"/>
    <x v="0"/>
    <n v="9"/>
    <n v="2220"/>
    <n v="1702.5353974612706"/>
    <n v="1533.3045093675044"/>
    <n v="3403936.0107958596"/>
    <n v="3779628.5823640209"/>
    <n v="-375692.57156816125"/>
    <n v="-29957.174195955893"/>
    <n v="-405649.74576411716"/>
    <n v="0"/>
    <n v="0"/>
    <n v="0"/>
    <n v="-405649.74576411716"/>
  </r>
  <r>
    <x v="11"/>
    <d v="2025-01-03T00:00:00"/>
    <d v="2025-01-24T00:00:00"/>
    <x v="0"/>
    <n v="9"/>
    <n v="2569"/>
    <n v="1702.5353974612706"/>
    <n v="1533.3045093675044"/>
    <n v="3939059.2845651186"/>
    <n v="4373813.4360780045"/>
    <n v="-434754.15151288593"/>
    <n v="-34666.657887121932"/>
    <n v="-469420.80940000789"/>
    <n v="0"/>
    <n v="0"/>
    <n v="0"/>
    <n v="-469420.80940000789"/>
  </r>
  <r>
    <x v="0"/>
    <d v="2024-02-05T00:00:00"/>
    <d v="2024-02-26T00:00:00"/>
    <x v="1"/>
    <n v="9"/>
    <n v="3306"/>
    <n v="1702.5353974612706"/>
    <n v="1533.3045093675044"/>
    <n v="5069104.7079689698"/>
    <n v="5628582.0240069609"/>
    <n v="-559477.31603799108"/>
    <n v="-44611.899951274863"/>
    <n v="-604089.21598926594"/>
    <n v="0"/>
    <n v="0"/>
    <n v="0"/>
    <n v="-604089.21598926594"/>
  </r>
  <r>
    <x v="1"/>
    <d v="2024-03-05T00:00:00"/>
    <d v="2024-03-25T00:00:00"/>
    <x v="1"/>
    <n v="9"/>
    <n v="2611"/>
    <n v="1702.5353974612706"/>
    <n v="1533.3045093675044"/>
    <n v="4003458.0739585538"/>
    <n v="4445319.9227713775"/>
    <n v="-441861.84881282365"/>
    <n v="-35233.415236775152"/>
    <n v="-477095.26404959883"/>
    <n v="0"/>
    <n v="0"/>
    <n v="0"/>
    <n v="-477095.26404959883"/>
  </r>
  <r>
    <x v="2"/>
    <d v="2024-04-03T00:00:00"/>
    <d v="2024-04-24T00:00:00"/>
    <x v="1"/>
    <n v="9"/>
    <n v="2302"/>
    <n v="1702.5353974612706"/>
    <n v="1533.3045093675044"/>
    <n v="3529666.980563995"/>
    <n v="3919236.4849558449"/>
    <n v="-389569.50439184997"/>
    <n v="-31063.700450040749"/>
    <n v="-420633.20484189072"/>
    <n v="0"/>
    <n v="0"/>
    <n v="0"/>
    <n v="-420633.20484189072"/>
  </r>
  <r>
    <x v="3"/>
    <d v="2024-05-03T00:00:00"/>
    <d v="2024-05-24T00:00:00"/>
    <x v="1"/>
    <n v="9"/>
    <n v="2486"/>
    <n v="1702.5353974612706"/>
    <n v="1533.3045093675044"/>
    <n v="3811795.0102876159"/>
    <n v="4232502.9980887184"/>
    <n v="-420707.98780110246"/>
    <n v="-33546.637410426287"/>
    <n v="-454254.62521152874"/>
    <n v="0"/>
    <n v="0"/>
    <n v="0"/>
    <n v="-454254.62521152874"/>
  </r>
  <r>
    <x v="4"/>
    <d v="2024-06-05T00:00:00"/>
    <d v="2024-06-24T00:00:00"/>
    <x v="1"/>
    <n v="9"/>
    <n v="2970"/>
    <n v="1702.5353974612706"/>
    <n v="1533.3045093675044"/>
    <n v="4553914.392821488"/>
    <n v="5056530.1304599736"/>
    <n v="-502615.73763848562"/>
    <n v="-40077.8411540491"/>
    <n v="-542693.57879253477"/>
    <n v="0"/>
    <n v="0"/>
    <n v="0"/>
    <n v="-542693.57879253477"/>
  </r>
  <r>
    <x v="5"/>
    <d v="2024-07-03T00:00:00"/>
    <d v="2024-07-24T00:00:00"/>
    <x v="1"/>
    <n v="9"/>
    <n v="3483"/>
    <n v="1702.5353974612706"/>
    <n v="1533.3045093675044"/>
    <n v="5340499.6061270181"/>
    <n v="5929930.7893576054"/>
    <n v="-589431.18323058728"/>
    <n v="-47000.377353384851"/>
    <n v="-636431.56058397214"/>
    <n v="0"/>
    <n v="0"/>
    <n v="0"/>
    <n v="-636431.56058397214"/>
  </r>
  <r>
    <x v="6"/>
    <d v="2024-08-05T00:00:00"/>
    <d v="2024-08-26T00:00:00"/>
    <x v="1"/>
    <n v="9"/>
    <n v="3510"/>
    <n v="1702.5353974612706"/>
    <n v="1533.3045093675044"/>
    <n v="5381898.8278799402"/>
    <n v="5975899.2450890597"/>
    <n v="-594000.41720911954"/>
    <n v="-47364.721363876211"/>
    <n v="-641365.13857299578"/>
    <n v="0"/>
    <n v="0"/>
    <n v="0"/>
    <n v="-641365.13857299578"/>
  </r>
  <r>
    <x v="7"/>
    <d v="2024-09-04T00:00:00"/>
    <d v="2024-09-24T00:00:00"/>
    <x v="1"/>
    <n v="9"/>
    <n v="3574"/>
    <n v="1702.5353974612706"/>
    <n v="1533.3045093675044"/>
    <n v="5480030.3164794603"/>
    <n v="6084861.5105265807"/>
    <n v="-604831.1940471204"/>
    <n v="-48228.351610966834"/>
    <n v="-653059.54565808724"/>
    <n v="0"/>
    <n v="0"/>
    <n v="0"/>
    <n v="-653059.54565808724"/>
  </r>
  <r>
    <x v="8"/>
    <d v="2024-10-03T00:00:00"/>
    <d v="2024-10-24T00:00:00"/>
    <x v="1"/>
    <n v="9"/>
    <n v="3188"/>
    <n v="1702.5353974612706"/>
    <n v="1533.3045093675044"/>
    <n v="4888174.7758636037"/>
    <n v="5427682.8471065303"/>
    <n v="-539508.07124292664"/>
    <n v="-43019.581683201526"/>
    <n v="-582527.65292612812"/>
    <n v="0"/>
    <n v="0"/>
    <n v="0"/>
    <n v="-582527.65292612812"/>
  </r>
  <r>
    <x v="9"/>
    <d v="2024-11-05T00:00:00"/>
    <d v="2024-11-25T00:00:00"/>
    <x v="1"/>
    <n v="9"/>
    <n v="2793"/>
    <n v="1702.5353974612706"/>
    <n v="1533.3045093675044"/>
    <n v="4282519.4946634397"/>
    <n v="4755181.3651093291"/>
    <n v="-472661.87044588942"/>
    <n v="-37689.363751939105"/>
    <n v="-510351.23419782851"/>
    <n v="0"/>
    <n v="0"/>
    <n v="0"/>
    <n v="-510351.23419782851"/>
  </r>
  <r>
    <x v="10"/>
    <d v="2024-12-04T00:00:00"/>
    <d v="2024-12-24T00:00:00"/>
    <x v="1"/>
    <n v="9"/>
    <n v="2339"/>
    <n v="1702.5353974612706"/>
    <n v="1533.3045093675044"/>
    <n v="3586399.2474105926"/>
    <n v="3982230.2946619117"/>
    <n v="-395831.04725131905"/>
    <n v="-31562.986686640015"/>
    <n v="-427394.03393795906"/>
    <n v="0"/>
    <n v="0"/>
    <n v="0"/>
    <n v="-427394.03393795906"/>
  </r>
  <r>
    <x v="11"/>
    <d v="2025-01-03T00:00:00"/>
    <d v="2025-01-24T00:00:00"/>
    <x v="1"/>
    <n v="9"/>
    <n v="2520"/>
    <n v="1702.5353974612706"/>
    <n v="1533.3045093675044"/>
    <n v="3863927.3636061111"/>
    <n v="4290389.2016024021"/>
    <n v="-426461.837996291"/>
    <n v="-34005.440979193176"/>
    <n v="-460467.27897548419"/>
    <n v="0"/>
    <n v="0"/>
    <n v="0"/>
    <n v="-460467.27897548419"/>
  </r>
  <r>
    <x v="0"/>
    <d v="2024-02-05T00:00:00"/>
    <d v="2024-02-26T00:00:00"/>
    <x v="2"/>
    <n v="9"/>
    <n v="216"/>
    <n v="1702.5353974612706"/>
    <n v="1533.3045093675044"/>
    <n v="331193.77402338095"/>
    <n v="367747.64585163444"/>
    <n v="-36553.871828253497"/>
    <n v="-2914.752083930844"/>
    <n v="-39468.623912184339"/>
    <n v="0"/>
    <n v="0"/>
    <n v="0"/>
    <n v="-39468.623912184339"/>
  </r>
  <r>
    <x v="1"/>
    <d v="2024-03-05T00:00:00"/>
    <d v="2024-03-25T00:00:00"/>
    <x v="2"/>
    <n v="9"/>
    <n v="146"/>
    <n v="1702.5353974612706"/>
    <n v="1533.3045093675044"/>
    <n v="223862.45836765564"/>
    <n v="248570.16802934551"/>
    <n v="-24707.709661689878"/>
    <n v="-1970.1565011754776"/>
    <n v="-26677.866162865357"/>
    <n v="0"/>
    <n v="0"/>
    <n v="0"/>
    <n v="-26677.866162865357"/>
  </r>
  <r>
    <x v="2"/>
    <d v="2024-04-03T00:00:00"/>
    <d v="2024-04-24T00:00:00"/>
    <x v="2"/>
    <n v="9"/>
    <n v="113"/>
    <n v="1702.5353974612706"/>
    <n v="1533.3045093675044"/>
    <n v="173263.40955852799"/>
    <n v="192386.49991312358"/>
    <n v="-19123.090354595595"/>
    <n v="-1524.8471550193765"/>
    <n v="-20647.937509614971"/>
    <n v="0"/>
    <n v="0"/>
    <n v="0"/>
    <n v="-20647.937509614971"/>
  </r>
  <r>
    <x v="3"/>
    <d v="2024-05-03T00:00:00"/>
    <d v="2024-05-24T00:00:00"/>
    <x v="2"/>
    <n v="9"/>
    <n v="76"/>
    <n v="1702.5353974612706"/>
    <n v="1533.3045093675044"/>
    <n v="116531.14271193033"/>
    <n v="129392.69020705657"/>
    <n v="-12861.547495126244"/>
    <n v="-1025.5609184201116"/>
    <n v="-13887.108413546355"/>
    <n v="0"/>
    <n v="0"/>
    <n v="0"/>
    <n v="-13887.108413546355"/>
  </r>
  <r>
    <x v="4"/>
    <d v="2024-06-05T00:00:00"/>
    <d v="2024-06-24T00:00:00"/>
    <x v="2"/>
    <n v="9"/>
    <n v="120"/>
    <n v="1702.5353974612706"/>
    <n v="1533.3045093675044"/>
    <n v="183996.54112410053"/>
    <n v="204304.24769535247"/>
    <n v="-20307.70657125194"/>
    <n v="-1619.3067132949132"/>
    <n v="-21927.013284546854"/>
    <n v="0"/>
    <n v="0"/>
    <n v="0"/>
    <n v="-21927.013284546854"/>
  </r>
  <r>
    <x v="5"/>
    <d v="2024-07-03T00:00:00"/>
    <d v="2024-07-24T00:00:00"/>
    <x v="2"/>
    <n v="9"/>
    <n v="147"/>
    <n v="1702.5353974612706"/>
    <n v="1533.3045093675044"/>
    <n v="225395.76287702314"/>
    <n v="250272.70342680678"/>
    <n v="-24876.940549783641"/>
    <n v="-1983.6507237862686"/>
    <n v="-26860.591273569909"/>
    <n v="0"/>
    <n v="0"/>
    <n v="0"/>
    <n v="-26860.591273569909"/>
  </r>
  <r>
    <x v="6"/>
    <d v="2024-08-05T00:00:00"/>
    <d v="2024-08-26T00:00:00"/>
    <x v="2"/>
    <n v="9"/>
    <n v="155"/>
    <n v="1702.5353974612706"/>
    <n v="1533.3045093675044"/>
    <n v="237662.19895196316"/>
    <n v="263892.98660649697"/>
    <n v="-26230.787654533808"/>
    <n v="-2091.6045046725962"/>
    <n v="-28322.392159206403"/>
    <n v="0"/>
    <n v="0"/>
    <n v="0"/>
    <n v="-28322.392159206403"/>
  </r>
  <r>
    <x v="7"/>
    <d v="2024-09-04T00:00:00"/>
    <d v="2024-09-24T00:00:00"/>
    <x v="2"/>
    <n v="9"/>
    <n v="157"/>
    <n v="1702.5353974612706"/>
    <n v="1533.3045093675044"/>
    <n v="240728.8079706982"/>
    <n v="267298.0574014195"/>
    <n v="-26569.249430721306"/>
    <n v="-2118.5929498941778"/>
    <n v="-28687.842380615482"/>
    <n v="0"/>
    <n v="0"/>
    <n v="0"/>
    <n v="-28687.842380615482"/>
  </r>
  <r>
    <x v="8"/>
    <d v="2024-10-03T00:00:00"/>
    <d v="2024-10-24T00:00:00"/>
    <x v="2"/>
    <n v="9"/>
    <n v="126"/>
    <n v="1702.5353974612706"/>
    <n v="1533.3045093675044"/>
    <n v="193196.36818030555"/>
    <n v="214519.4600801201"/>
    <n v="-21323.09189981455"/>
    <n v="-1700.2720489596588"/>
    <n v="-23023.363948774208"/>
    <n v="0"/>
    <n v="0"/>
    <n v="0"/>
    <n v="-23023.363948774208"/>
  </r>
  <r>
    <x v="9"/>
    <d v="2024-11-05T00:00:00"/>
    <d v="2024-11-25T00:00:00"/>
    <x v="2"/>
    <n v="9"/>
    <n v="112"/>
    <n v="1702.5353974612706"/>
    <n v="1533.3045093675044"/>
    <n v="171730.10504916048"/>
    <n v="190683.96451566232"/>
    <n v="-18953.859466501832"/>
    <n v="-1511.3529324085857"/>
    <n v="-20465.212398910418"/>
    <n v="0"/>
    <n v="0"/>
    <n v="0"/>
    <n v="-20465.212398910418"/>
  </r>
  <r>
    <x v="10"/>
    <d v="2024-12-04T00:00:00"/>
    <d v="2024-12-24T00:00:00"/>
    <x v="2"/>
    <n v="9"/>
    <n v="93"/>
    <n v="1702.5353974612706"/>
    <n v="1533.3045093675044"/>
    <n v="142597.3193711779"/>
    <n v="158335.79196389817"/>
    <n v="-15738.472592720267"/>
    <n v="-1254.9627028035577"/>
    <n v="-16993.435295523825"/>
    <n v="0"/>
    <n v="0"/>
    <n v="0"/>
    <n v="-16993.435295523825"/>
  </r>
  <r>
    <x v="11"/>
    <d v="2025-01-03T00:00:00"/>
    <d v="2025-01-24T00:00:00"/>
    <x v="2"/>
    <n v="9"/>
    <n v="128"/>
    <n v="1702.5353974612706"/>
    <n v="1533.3045093675044"/>
    <n v="196262.97719904056"/>
    <n v="217924.53087504263"/>
    <n v="-21661.553676002077"/>
    <n v="-1727.2604941812408"/>
    <n v="-23388.814170183319"/>
    <n v="0"/>
    <n v="0"/>
    <n v="0"/>
    <n v="-23388.814170183319"/>
  </r>
  <r>
    <x v="0"/>
    <d v="2024-02-05T00:00:00"/>
    <d v="2024-02-26T00:00:00"/>
    <x v="3"/>
    <n v="9"/>
    <n v="1129"/>
    <n v="1702.5353974612706"/>
    <n v="1533.3045093675044"/>
    <n v="1731100.7910759123"/>
    <n v="1922162.4637337744"/>
    <n v="-191061.67265786207"/>
    <n v="-15234.977327582974"/>
    <n v="-206296.64998544505"/>
    <n v="0"/>
    <n v="0"/>
    <n v="0"/>
    <n v="-206296.64998544505"/>
  </r>
  <r>
    <x v="1"/>
    <d v="2024-03-05T00:00:00"/>
    <d v="2024-03-25T00:00:00"/>
    <x v="3"/>
    <n v="9"/>
    <n v="739"/>
    <n v="1702.5353974612706"/>
    <n v="1533.3045093675044"/>
    <n v="1133112.0324225856"/>
    <n v="1258173.6587238789"/>
    <n v="-125061.62630129326"/>
    <n v="-9972.2305093745072"/>
    <n v="-135033.85681066776"/>
    <n v="0"/>
    <n v="0"/>
    <n v="0"/>
    <n v="-135033.85681066776"/>
  </r>
  <r>
    <x v="2"/>
    <d v="2024-04-03T00:00:00"/>
    <d v="2024-04-24T00:00:00"/>
    <x v="3"/>
    <n v="9"/>
    <n v="642"/>
    <n v="1702.5353974612706"/>
    <n v="1533.3045093675044"/>
    <n v="984381.49501393782"/>
    <n v="1093027.7251701357"/>
    <n v="-108646.23015619791"/>
    <n v="-8663.2909161277857"/>
    <n v="-117309.5210723257"/>
    <n v="0"/>
    <n v="0"/>
    <n v="0"/>
    <n v="-117309.5210723257"/>
  </r>
  <r>
    <x v="3"/>
    <d v="2024-05-03T00:00:00"/>
    <d v="2024-05-24T00:00:00"/>
    <x v="3"/>
    <n v="9"/>
    <n v="581"/>
    <n v="1702.5353974612706"/>
    <n v="1533.3045093675044"/>
    <n v="890849.91994251998"/>
    <n v="989173.06592499826"/>
    <n v="-98323.14598247828"/>
    <n v="-7840.143336869538"/>
    <n v="-106163.28931934782"/>
    <n v="0"/>
    <n v="0"/>
    <n v="0"/>
    <n v="-106163.28931934782"/>
  </r>
  <r>
    <x v="4"/>
    <d v="2024-06-05T00:00:00"/>
    <d v="2024-06-24T00:00:00"/>
    <x v="3"/>
    <n v="9"/>
    <n v="753"/>
    <n v="1702.5353974612706"/>
    <n v="1533.3045093675044"/>
    <n v="1154578.2955537308"/>
    <n v="1282009.1542883366"/>
    <n v="-127430.85873460583"/>
    <n v="-10161.14962592558"/>
    <n v="-137592.00836053141"/>
    <n v="0"/>
    <n v="0"/>
    <n v="0"/>
    <n v="-137592.00836053141"/>
  </r>
  <r>
    <x v="5"/>
    <d v="2024-07-03T00:00:00"/>
    <d v="2024-07-24T00:00:00"/>
    <x v="3"/>
    <n v="9"/>
    <n v="1001"/>
    <n v="1702.5353974612706"/>
    <n v="1533.3045093675044"/>
    <n v="1534837.813876872"/>
    <n v="1704237.9328587318"/>
    <n v="-169400.11898185988"/>
    <n v="-13507.716833401733"/>
    <n v="-182907.83581526161"/>
    <n v="0"/>
    <n v="0"/>
    <n v="0"/>
    <n v="-182907.83581526161"/>
  </r>
  <r>
    <x v="6"/>
    <d v="2024-08-05T00:00:00"/>
    <d v="2024-08-26T00:00:00"/>
    <x v="3"/>
    <n v="9"/>
    <n v="961"/>
    <n v="1702.5353974612706"/>
    <n v="1533.3045093675044"/>
    <n v="1473505.6335021716"/>
    <n v="1636136.5169602809"/>
    <n v="-162630.88345810934"/>
    <n v="-12967.947928970096"/>
    <n v="-175598.83138707944"/>
    <n v="0"/>
    <n v="0"/>
    <n v="0"/>
    <n v="-175598.83138707944"/>
  </r>
  <r>
    <x v="7"/>
    <d v="2024-09-04T00:00:00"/>
    <d v="2024-09-24T00:00:00"/>
    <x v="3"/>
    <n v="9"/>
    <n v="1017"/>
    <n v="1702.5353974612706"/>
    <n v="1533.3045093675044"/>
    <n v="1559370.686026752"/>
    <n v="1731478.4992181121"/>
    <n v="-172107.8131913601"/>
    <n v="-13723.624395174389"/>
    <n v="-185831.43758653448"/>
    <n v="0"/>
    <n v="0"/>
    <n v="0"/>
    <n v="-185831.43758653448"/>
  </r>
  <r>
    <x v="8"/>
    <d v="2024-10-03T00:00:00"/>
    <d v="2024-10-24T00:00:00"/>
    <x v="3"/>
    <n v="9"/>
    <n v="856"/>
    <n v="1702.5353974612706"/>
    <n v="1533.3045093675044"/>
    <n v="1312508.6600185838"/>
    <n v="1457370.3002268476"/>
    <n v="-144861.64020826388"/>
    <n v="-11551.054554837046"/>
    <n v="-156412.69476310094"/>
    <n v="0"/>
    <n v="0"/>
    <n v="0"/>
    <n v="-156412.69476310094"/>
  </r>
  <r>
    <x v="9"/>
    <d v="2024-11-05T00:00:00"/>
    <d v="2024-11-25T00:00:00"/>
    <x v="3"/>
    <n v="9"/>
    <n v="786"/>
    <n v="1702.5353974612706"/>
    <n v="1533.3045093675044"/>
    <n v="1205177.3443628585"/>
    <n v="1338192.8224045588"/>
    <n v="-133015.47804170032"/>
    <n v="-10606.45897208168"/>
    <n v="-143621.93701378201"/>
    <n v="0"/>
    <n v="0"/>
    <n v="0"/>
    <n v="-143621.93701378201"/>
  </r>
  <r>
    <x v="10"/>
    <d v="2024-12-04T00:00:00"/>
    <d v="2024-12-24T00:00:00"/>
    <x v="3"/>
    <n v="9"/>
    <n v="463"/>
    <n v="1702.5353974612706"/>
    <n v="1533.3045093675044"/>
    <n v="709919.98783715453"/>
    <n v="788273.88902456826"/>
    <n v="-78353.901187413721"/>
    <n v="-6247.8250687962072"/>
    <n v="-84601.726256209935"/>
    <n v="0"/>
    <n v="0"/>
    <n v="0"/>
    <n v="-84601.726256209935"/>
  </r>
  <r>
    <x v="11"/>
    <d v="2025-01-03T00:00:00"/>
    <d v="2025-01-24T00:00:00"/>
    <x v="3"/>
    <n v="9"/>
    <n v="725"/>
    <n v="1702.5353974612706"/>
    <n v="1533.3045093675044"/>
    <n v="1111645.7692914407"/>
    <n v="1234338.1631594212"/>
    <n v="-122692.39386798046"/>
    <n v="-9783.3113928234343"/>
    <n v="-132475.70526080389"/>
    <n v="0"/>
    <n v="0"/>
    <n v="0"/>
    <n v="-132475.70526080389"/>
  </r>
  <r>
    <x v="0"/>
    <d v="2024-02-05T00:00:00"/>
    <d v="2024-02-26T00:00:00"/>
    <x v="4"/>
    <n v="9"/>
    <n v="58"/>
    <n v="1702.5353974612706"/>
    <n v="1533.3045093675044"/>
    <n v="88931.661543315247"/>
    <n v="98747.05305275369"/>
    <n v="-9815.3915094384429"/>
    <n v="-782.66491142587461"/>
    <n v="-10598.056420864317"/>
    <n v="0"/>
    <n v="0"/>
    <n v="0"/>
    <n v="-10598.056420864317"/>
  </r>
  <r>
    <x v="1"/>
    <d v="2024-03-05T00:00:00"/>
    <d v="2024-03-25T00:00:00"/>
    <x v="4"/>
    <n v="9"/>
    <n v="36"/>
    <n v="1702.5353974612706"/>
    <n v="1533.3045093675044"/>
    <n v="55198.962337230158"/>
    <n v="61291.274308605738"/>
    <n v="-6092.3119713755805"/>
    <n v="-485.79201398847397"/>
    <n v="-6578.1039853640541"/>
    <n v="0"/>
    <n v="0"/>
    <n v="0"/>
    <n v="-6578.1039853640541"/>
  </r>
  <r>
    <x v="2"/>
    <d v="2024-04-03T00:00:00"/>
    <d v="2024-04-24T00:00:00"/>
    <x v="4"/>
    <n v="9"/>
    <n v="29"/>
    <n v="1702.5353974612706"/>
    <n v="1533.3045093675044"/>
    <n v="44465.830771657624"/>
    <n v="49373.526526376845"/>
    <n v="-4907.6957547192214"/>
    <n v="-391.3324557129373"/>
    <n v="-5299.0282104321586"/>
    <n v="0"/>
    <n v="0"/>
    <n v="0"/>
    <n v="-5299.0282104321586"/>
  </r>
  <r>
    <x v="3"/>
    <d v="2024-05-03T00:00:00"/>
    <d v="2024-05-24T00:00:00"/>
    <x v="4"/>
    <n v="9"/>
    <n v="27"/>
    <n v="1702.5353974612706"/>
    <n v="1533.3045093675044"/>
    <n v="41399.221752922618"/>
    <n v="45968.455731454305"/>
    <n v="-4569.2339785316872"/>
    <n v="-364.3440104913555"/>
    <n v="-4933.5779890230424"/>
    <n v="0"/>
    <n v="0"/>
    <n v="0"/>
    <n v="-4933.5779890230424"/>
  </r>
  <r>
    <x v="4"/>
    <d v="2024-06-05T00:00:00"/>
    <d v="2024-06-24T00:00:00"/>
    <x v="4"/>
    <n v="9"/>
    <n v="36"/>
    <n v="1702.5353974612706"/>
    <n v="1533.3045093675044"/>
    <n v="55198.962337230158"/>
    <n v="61291.274308605738"/>
    <n v="-6092.3119713755805"/>
    <n v="-485.79201398847397"/>
    <n v="-6578.1039853640541"/>
    <n v="0"/>
    <n v="0"/>
    <n v="0"/>
    <n v="-6578.1039853640541"/>
  </r>
  <r>
    <x v="5"/>
    <d v="2024-07-03T00:00:00"/>
    <d v="2024-07-24T00:00:00"/>
    <x v="4"/>
    <n v="9"/>
    <n v="53"/>
    <n v="1702.5353974612706"/>
    <n v="1533.3045093675044"/>
    <n v="81265.138996477734"/>
    <n v="90234.376065447344"/>
    <n v="-8969.2370689696108"/>
    <n v="-715.19379837192002"/>
    <n v="-9684.4308673415308"/>
    <n v="0"/>
    <n v="0"/>
    <n v="0"/>
    <n v="-9684.4308673415308"/>
  </r>
  <r>
    <x v="6"/>
    <d v="2024-08-05T00:00:00"/>
    <d v="2024-08-26T00:00:00"/>
    <x v="4"/>
    <n v="9"/>
    <n v="53"/>
    <n v="1702.5353974612706"/>
    <n v="1533.3045093675044"/>
    <n v="81265.138996477734"/>
    <n v="90234.376065447344"/>
    <n v="-8969.2370689696108"/>
    <n v="-715.19379837192002"/>
    <n v="-9684.4308673415308"/>
    <n v="0"/>
    <n v="0"/>
    <n v="0"/>
    <n v="-9684.4308673415308"/>
  </r>
  <r>
    <x v="7"/>
    <d v="2024-09-04T00:00:00"/>
    <d v="2024-09-24T00:00:00"/>
    <x v="4"/>
    <n v="9"/>
    <n v="54"/>
    <n v="1702.5353974612706"/>
    <n v="1533.3045093675044"/>
    <n v="82798.443505845236"/>
    <n v="91936.911462908611"/>
    <n v="-9138.4679570633743"/>
    <n v="-728.68802098271101"/>
    <n v="-9867.1559780460848"/>
    <n v="0"/>
    <n v="0"/>
    <n v="0"/>
    <n v="-9867.1559780460848"/>
  </r>
  <r>
    <x v="8"/>
    <d v="2024-10-03T00:00:00"/>
    <d v="2024-10-24T00:00:00"/>
    <x v="4"/>
    <n v="9"/>
    <n v="48"/>
    <n v="1702.5353974612706"/>
    <n v="1533.3045093675044"/>
    <n v="73598.616449640205"/>
    <n v="81721.699078140984"/>
    <n v="-8123.0826285007788"/>
    <n v="-647.72268531796522"/>
    <n v="-8770.8053138187443"/>
    <n v="0"/>
    <n v="0"/>
    <n v="0"/>
    <n v="-8770.8053138187443"/>
  </r>
  <r>
    <x v="9"/>
    <d v="2024-11-05T00:00:00"/>
    <d v="2024-11-25T00:00:00"/>
    <x v="4"/>
    <n v="9"/>
    <n v="41"/>
    <n v="1702.5353974612706"/>
    <n v="1533.3045093675044"/>
    <n v="62865.484884067679"/>
    <n v="69803.951295912091"/>
    <n v="-6938.4664118444125"/>
    <n v="-553.26312704242866"/>
    <n v="-7491.7295388868415"/>
    <n v="0"/>
    <n v="0"/>
    <n v="0"/>
    <n v="-7491.7295388868415"/>
  </r>
  <r>
    <x v="10"/>
    <d v="2024-12-04T00:00:00"/>
    <d v="2024-12-24T00:00:00"/>
    <x v="4"/>
    <n v="9"/>
    <n v="22"/>
    <n v="1702.5353974612706"/>
    <n v="1533.3045093675044"/>
    <n v="33732.699206085097"/>
    <n v="37455.778744147952"/>
    <n v="-3723.0795380628551"/>
    <n v="-296.87289743740075"/>
    <n v="-4019.9524355002559"/>
    <n v="0"/>
    <n v="0"/>
    <n v="0"/>
    <n v="-4019.9524355002559"/>
  </r>
  <r>
    <x v="11"/>
    <d v="2025-01-03T00:00:00"/>
    <d v="2025-01-24T00:00:00"/>
    <x v="4"/>
    <n v="9"/>
    <n v="37"/>
    <n v="1702.5353974612706"/>
    <n v="1533.3045093675044"/>
    <n v="56732.26684659766"/>
    <n v="62993.809706067012"/>
    <n v="-6261.5428594693512"/>
    <n v="-499.2862365992649"/>
    <n v="-6760.8290960686163"/>
    <n v="0"/>
    <n v="0"/>
    <n v="0"/>
    <n v="-6760.8290960686163"/>
  </r>
  <r>
    <x v="0"/>
    <d v="2024-02-05T00:00:00"/>
    <d v="2024-02-26T00:00:00"/>
    <x v="5"/>
    <n v="9"/>
    <n v="75"/>
    <n v="1702.5353974612706"/>
    <n v="1533.3045093675044"/>
    <n v="114997.83820256282"/>
    <n v="127690.15480959529"/>
    <n v="-12692.316607032466"/>
    <n v="-1012.0666958093208"/>
    <n v="-13704.383302841787"/>
    <n v="0"/>
    <n v="0"/>
    <n v="0"/>
    <n v="-13704.383302841787"/>
  </r>
  <r>
    <x v="1"/>
    <d v="2024-03-05T00:00:00"/>
    <d v="2024-03-25T00:00:00"/>
    <x v="5"/>
    <n v="9"/>
    <n v="54"/>
    <n v="1702.5353974612706"/>
    <n v="1533.3045093675044"/>
    <n v="82798.443505845236"/>
    <n v="91936.911462908611"/>
    <n v="-9138.4679570633743"/>
    <n v="-728.68802098271101"/>
    <n v="-9867.1559780460848"/>
    <n v="0"/>
    <n v="0"/>
    <n v="0"/>
    <n v="-9867.1559780460848"/>
  </r>
  <r>
    <x v="2"/>
    <d v="2024-04-03T00:00:00"/>
    <d v="2024-04-24T00:00:00"/>
    <x v="5"/>
    <n v="9"/>
    <n v="49"/>
    <n v="1702.5353974612706"/>
    <n v="1533.3045093675044"/>
    <n v="75131.920959007708"/>
    <n v="83424.234475602265"/>
    <n v="-8292.3135165945569"/>
    <n v="-661.2169079287562"/>
    <n v="-8953.5304245233128"/>
    <n v="0"/>
    <n v="0"/>
    <n v="0"/>
    <n v="-8953.5304245233128"/>
  </r>
  <r>
    <x v="3"/>
    <d v="2024-05-03T00:00:00"/>
    <d v="2024-05-24T00:00:00"/>
    <x v="5"/>
    <n v="9"/>
    <n v="43"/>
    <n v="1702.5353974612706"/>
    <n v="1533.3045093675044"/>
    <n v="65932.093902802691"/>
    <n v="73209.022090834638"/>
    <n v="-7276.9281880319468"/>
    <n v="-580.25157226401052"/>
    <n v="-7857.1797602959577"/>
    <n v="0"/>
    <n v="0"/>
    <n v="0"/>
    <n v="-7857.1797602959577"/>
  </r>
  <r>
    <x v="4"/>
    <d v="2024-06-05T00:00:00"/>
    <d v="2024-06-24T00:00:00"/>
    <x v="5"/>
    <n v="9"/>
    <n v="50"/>
    <n v="1702.5353974612706"/>
    <n v="1533.3045093675044"/>
    <n v="76665.225468375211"/>
    <n v="85126.769873063531"/>
    <n v="-8461.5444046883204"/>
    <n v="-674.71113053954718"/>
    <n v="-9136.2555352278669"/>
    <n v="0"/>
    <n v="0"/>
    <n v="0"/>
    <n v="-9136.2555352278669"/>
  </r>
  <r>
    <x v="5"/>
    <d v="2024-07-03T00:00:00"/>
    <d v="2024-07-24T00:00:00"/>
    <x v="5"/>
    <n v="9"/>
    <n v="59"/>
    <n v="1702.5353974612706"/>
    <n v="1533.3045093675044"/>
    <n v="90464.96605268275"/>
    <n v="100449.58845021497"/>
    <n v="-9984.6223975322209"/>
    <n v="-796.15913403666559"/>
    <n v="-10780.781531568886"/>
    <n v="0"/>
    <n v="0"/>
    <n v="0"/>
    <n v="-10780.781531568886"/>
  </r>
  <r>
    <x v="6"/>
    <d v="2024-08-05T00:00:00"/>
    <d v="2024-08-26T00:00:00"/>
    <x v="5"/>
    <n v="9"/>
    <n v="60"/>
    <n v="1702.5353974612706"/>
    <n v="1533.3045093675044"/>
    <n v="91998.270562050267"/>
    <n v="102152.12384767624"/>
    <n v="-10153.85328562597"/>
    <n v="-809.65335664745658"/>
    <n v="-10963.506642273427"/>
    <n v="0"/>
    <n v="0"/>
    <n v="0"/>
    <n v="-10963.506642273427"/>
  </r>
  <r>
    <x v="7"/>
    <d v="2024-09-04T00:00:00"/>
    <d v="2024-09-24T00:00:00"/>
    <x v="5"/>
    <n v="9"/>
    <n v="56"/>
    <n v="1702.5353974612706"/>
    <n v="1533.3045093675044"/>
    <n v="85865.052524580242"/>
    <n v="95341.982257831158"/>
    <n v="-9476.9297332509159"/>
    <n v="-755.67646620429286"/>
    <n v="-10232.606199455209"/>
    <n v="0"/>
    <n v="0"/>
    <n v="0"/>
    <n v="-10232.606199455209"/>
  </r>
  <r>
    <x v="8"/>
    <d v="2024-10-03T00:00:00"/>
    <d v="2024-10-24T00:00:00"/>
    <x v="5"/>
    <n v="9"/>
    <n v="55"/>
    <n v="1702.5353974612706"/>
    <n v="1533.3045093675044"/>
    <n v="84331.748015212739"/>
    <n v="93639.446860369877"/>
    <n v="-9307.6988451571378"/>
    <n v="-742.18224359350188"/>
    <n v="-10049.881088750641"/>
    <n v="0"/>
    <n v="0"/>
    <n v="0"/>
    <n v="-10049.881088750641"/>
  </r>
  <r>
    <x v="9"/>
    <d v="2024-11-05T00:00:00"/>
    <d v="2024-11-25T00:00:00"/>
    <x v="5"/>
    <n v="9"/>
    <n v="51"/>
    <n v="1702.5353974612706"/>
    <n v="1533.3045093675044"/>
    <n v="78198.529977742728"/>
    <n v="86829.305270524797"/>
    <n v="-8630.7752927820693"/>
    <n v="-688.20535315033806"/>
    <n v="-9318.9806459324082"/>
    <n v="0"/>
    <n v="0"/>
    <n v="0"/>
    <n v="-9318.9806459324082"/>
  </r>
  <r>
    <x v="10"/>
    <d v="2024-12-04T00:00:00"/>
    <d v="2024-12-24T00:00:00"/>
    <x v="5"/>
    <n v="9"/>
    <n v="40"/>
    <n v="1702.5353974612706"/>
    <n v="1533.3045093675044"/>
    <n v="61332.180374700176"/>
    <n v="68101.415898450825"/>
    <n v="-6769.235523750649"/>
    <n v="-539.76890443163779"/>
    <n v="-7309.0044281822866"/>
    <n v="0"/>
    <n v="0"/>
    <n v="0"/>
    <n v="-7309.0044281822866"/>
  </r>
  <r>
    <x v="11"/>
    <d v="2025-01-03T00:00:00"/>
    <d v="2025-01-24T00:00:00"/>
    <x v="5"/>
    <n v="9"/>
    <n v="51"/>
    <n v="1702.5353974612706"/>
    <n v="1533.3045093675044"/>
    <n v="78198.529977742728"/>
    <n v="86829.305270524797"/>
    <n v="-8630.7752927820693"/>
    <n v="-688.20535315033806"/>
    <n v="-9318.9806459324082"/>
    <n v="0"/>
    <n v="0"/>
    <n v="0"/>
    <n v="-9318.9806459324082"/>
  </r>
  <r>
    <x v="0"/>
    <d v="2024-02-05T00:00:00"/>
    <d v="2024-02-26T00:00:00"/>
    <x v="6"/>
    <n v="9"/>
    <n v="94"/>
    <n v="1702.5353974612706"/>
    <n v="1533.3045093675044"/>
    <n v="144130.6238805454"/>
    <n v="160038.32736135944"/>
    <n v="-15907.703480814031"/>
    <n v="-1268.4569254143487"/>
    <n v="-17176.16040622838"/>
    <n v="0"/>
    <n v="0"/>
    <n v="0"/>
    <n v="-17176.16040622838"/>
  </r>
  <r>
    <x v="1"/>
    <d v="2024-03-05T00:00:00"/>
    <d v="2024-03-25T00:00:00"/>
    <x v="6"/>
    <n v="9"/>
    <n v="62"/>
    <n v="1702.5353974612706"/>
    <n v="1533.3045093675044"/>
    <n v="95064.879580785273"/>
    <n v="105557.19464259877"/>
    <n v="-10492.315061813497"/>
    <n v="-836.64180186903843"/>
    <n v="-11328.956863682535"/>
    <n v="0"/>
    <n v="0"/>
    <n v="0"/>
    <n v="-11328.956863682535"/>
  </r>
  <r>
    <x v="2"/>
    <d v="2024-04-03T00:00:00"/>
    <d v="2024-04-24T00:00:00"/>
    <x v="6"/>
    <n v="9"/>
    <n v="60"/>
    <n v="1702.5353974612706"/>
    <n v="1533.3045093675044"/>
    <n v="91998.270562050267"/>
    <n v="102152.12384767624"/>
    <n v="-10153.85328562597"/>
    <n v="-809.65335664745658"/>
    <n v="-10963.506642273427"/>
    <n v="0"/>
    <n v="0"/>
    <n v="0"/>
    <n v="-10963.506642273427"/>
  </r>
  <r>
    <x v="3"/>
    <d v="2024-05-03T00:00:00"/>
    <d v="2024-05-24T00:00:00"/>
    <x v="6"/>
    <n v="9"/>
    <n v="92"/>
    <n v="1702.5353974612706"/>
    <n v="1533.3045093675044"/>
    <n v="141064.0148618104"/>
    <n v="156633.2565664369"/>
    <n v="-15569.241704626504"/>
    <n v="-1241.4684801927667"/>
    <n v="-16810.710184819269"/>
    <n v="0"/>
    <n v="0"/>
    <n v="0"/>
    <n v="-16810.710184819269"/>
  </r>
  <r>
    <x v="4"/>
    <d v="2024-06-05T00:00:00"/>
    <d v="2024-06-24T00:00:00"/>
    <x v="6"/>
    <n v="9"/>
    <n v="118"/>
    <n v="1702.5353974612706"/>
    <n v="1533.3045093675044"/>
    <n v="180929.9321053655"/>
    <n v="200899.17690042994"/>
    <n v="-19969.244795064442"/>
    <n v="-1592.3182680733312"/>
    <n v="-21561.563063137772"/>
    <n v="0"/>
    <n v="0"/>
    <n v="0"/>
    <n v="-21561.563063137772"/>
  </r>
  <r>
    <x v="5"/>
    <d v="2024-07-03T00:00:00"/>
    <d v="2024-07-24T00:00:00"/>
    <x v="6"/>
    <n v="9"/>
    <n v="143"/>
    <n v="1702.5353974612706"/>
    <n v="1533.3045093675044"/>
    <n v="219262.54483955313"/>
    <n v="243462.56183696169"/>
    <n v="-24200.016997408558"/>
    <n v="-1929.6738333431047"/>
    <n v="-26129.690830751664"/>
    <n v="0"/>
    <n v="0"/>
    <n v="0"/>
    <n v="-26129.690830751664"/>
  </r>
  <r>
    <x v="6"/>
    <d v="2024-08-05T00:00:00"/>
    <d v="2024-08-26T00:00:00"/>
    <x v="6"/>
    <n v="9"/>
    <n v="151"/>
    <n v="1702.5353974612706"/>
    <n v="1533.3045093675044"/>
    <n v="231528.98091449315"/>
    <n v="257082.84501665185"/>
    <n v="-25553.864102158695"/>
    <n v="-2037.6276142294323"/>
    <n v="-27591.491716388129"/>
    <n v="0"/>
    <n v="0"/>
    <n v="0"/>
    <n v="-27591.491716388129"/>
  </r>
  <r>
    <x v="7"/>
    <d v="2024-09-04T00:00:00"/>
    <d v="2024-09-24T00:00:00"/>
    <x v="6"/>
    <n v="9"/>
    <n v="157"/>
    <n v="1702.5353974612706"/>
    <n v="1533.3045093675044"/>
    <n v="240728.8079706982"/>
    <n v="267298.0574014195"/>
    <n v="-26569.249430721306"/>
    <n v="-2118.5929498941778"/>
    <n v="-28687.842380615482"/>
    <n v="0"/>
    <n v="0"/>
    <n v="0"/>
    <n v="-28687.842380615482"/>
  </r>
  <r>
    <x v="8"/>
    <d v="2024-10-03T00:00:00"/>
    <d v="2024-10-24T00:00:00"/>
    <x v="6"/>
    <n v="9"/>
    <n v="146"/>
    <n v="1702.5353974612706"/>
    <n v="1533.3045093675044"/>
    <n v="223862.45836765564"/>
    <n v="248570.16802934551"/>
    <n v="-24707.709661689878"/>
    <n v="-1970.1565011754776"/>
    <n v="-26677.866162865357"/>
    <n v="0"/>
    <n v="0"/>
    <n v="0"/>
    <n v="-26677.866162865357"/>
  </r>
  <r>
    <x v="9"/>
    <d v="2024-11-05T00:00:00"/>
    <d v="2024-11-25T00:00:00"/>
    <x v="6"/>
    <n v="9"/>
    <n v="116"/>
    <n v="1702.5353974612706"/>
    <n v="1533.3045093675044"/>
    <n v="177863.32308663049"/>
    <n v="197494.10610550738"/>
    <n v="-19630.783018876886"/>
    <n v="-1565.3298228517492"/>
    <n v="-21196.112841728635"/>
    <n v="0"/>
    <n v="0"/>
    <n v="0"/>
    <n v="-21196.112841728635"/>
  </r>
  <r>
    <x v="10"/>
    <d v="2024-12-04T00:00:00"/>
    <d v="2024-12-24T00:00:00"/>
    <x v="6"/>
    <n v="9"/>
    <n v="62"/>
    <n v="1702.5353974612706"/>
    <n v="1533.3045093675044"/>
    <n v="95064.879580785273"/>
    <n v="105557.19464259877"/>
    <n v="-10492.315061813497"/>
    <n v="-836.64180186903843"/>
    <n v="-11328.956863682535"/>
    <n v="0"/>
    <n v="0"/>
    <n v="0"/>
    <n v="-11328.956863682535"/>
  </r>
  <r>
    <x v="11"/>
    <d v="2025-01-03T00:00:00"/>
    <d v="2025-01-24T00:00:00"/>
    <x v="6"/>
    <n v="9"/>
    <n v="77"/>
    <n v="1702.5353974612706"/>
    <n v="1533.3045093675044"/>
    <n v="118064.44722129783"/>
    <n v="131095.22560451782"/>
    <n v="-13030.778383219993"/>
    <n v="-1039.0551410309026"/>
    <n v="-14069.833524250895"/>
    <n v="0"/>
    <n v="0"/>
    <n v="0"/>
    <n v="-14069.833524250895"/>
  </r>
  <r>
    <x v="0"/>
    <d v="2024-02-05T00:00:00"/>
    <d v="2024-02-26T00:00:00"/>
    <x v="7"/>
    <n v="9"/>
    <n v="65"/>
    <n v="1702.5353974612706"/>
    <n v="1533.3045093675044"/>
    <n v="99664.793108887781"/>
    <n v="110664.80083498258"/>
    <n v="-11000.007726094802"/>
    <n v="-877.12446970141139"/>
    <n v="-11877.132195796214"/>
    <n v="0"/>
    <n v="0"/>
    <n v="0"/>
    <n v="-11877.132195796214"/>
  </r>
  <r>
    <x v="1"/>
    <d v="2024-03-05T00:00:00"/>
    <d v="2024-03-25T00:00:00"/>
    <x v="7"/>
    <n v="9"/>
    <n v="65"/>
    <n v="1702.5353974612706"/>
    <n v="1533.3045093675044"/>
    <n v="99664.793108887781"/>
    <n v="110664.80083498258"/>
    <n v="-11000.007726094802"/>
    <n v="-877.12446970141139"/>
    <n v="-11877.132195796214"/>
    <n v="0"/>
    <n v="0"/>
    <n v="0"/>
    <n v="-11877.132195796214"/>
  </r>
  <r>
    <x v="2"/>
    <d v="2024-04-03T00:00:00"/>
    <d v="2024-04-24T00:00:00"/>
    <x v="7"/>
    <n v="9"/>
    <n v="64"/>
    <n v="1702.5353974612706"/>
    <n v="1533.3045093675044"/>
    <n v="98131.488599520279"/>
    <n v="108962.26543752132"/>
    <n v="-10830.776838001038"/>
    <n v="-863.6302470906204"/>
    <n v="-11694.40708509166"/>
    <n v="0"/>
    <n v="0"/>
    <n v="0"/>
    <n v="-11694.40708509166"/>
  </r>
  <r>
    <x v="3"/>
    <d v="2024-05-03T00:00:00"/>
    <d v="2024-05-24T00:00:00"/>
    <x v="7"/>
    <n v="9"/>
    <n v="65"/>
    <n v="1702.5353974612706"/>
    <n v="1533.3045093675044"/>
    <n v="99664.793108887781"/>
    <n v="110664.80083498258"/>
    <n v="-11000.007726094802"/>
    <n v="-877.12446970141139"/>
    <n v="-11877.132195796214"/>
    <n v="0"/>
    <n v="0"/>
    <n v="0"/>
    <n v="-11877.132195796214"/>
  </r>
  <r>
    <x v="4"/>
    <d v="2024-06-05T00:00:00"/>
    <d v="2024-06-24T00:00:00"/>
    <x v="7"/>
    <n v="9"/>
    <n v="51"/>
    <n v="1702.5353974612706"/>
    <n v="1533.3045093675044"/>
    <n v="78198.529977742728"/>
    <n v="86829.305270524797"/>
    <n v="-8630.7752927820693"/>
    <n v="-688.20535315033806"/>
    <n v="-9318.9806459324082"/>
    <n v="0"/>
    <n v="0"/>
    <n v="0"/>
    <n v="-9318.9806459324082"/>
  </r>
  <r>
    <x v="5"/>
    <d v="2024-07-03T00:00:00"/>
    <d v="2024-07-24T00:00:00"/>
    <x v="7"/>
    <n v="9"/>
    <n v="59"/>
    <n v="1702.5353974612706"/>
    <n v="1533.3045093675044"/>
    <n v="90464.96605268275"/>
    <n v="100449.58845021497"/>
    <n v="-9984.6223975322209"/>
    <n v="-796.15913403666559"/>
    <n v="-10780.781531568886"/>
    <n v="0"/>
    <n v="0"/>
    <n v="0"/>
    <n v="-10780.781531568886"/>
  </r>
  <r>
    <x v="6"/>
    <d v="2024-08-05T00:00:00"/>
    <d v="2024-08-26T00:00:00"/>
    <x v="7"/>
    <n v="9"/>
    <n v="67"/>
    <n v="1702.5353974612706"/>
    <n v="1533.3045093675044"/>
    <n v="102731.40212762279"/>
    <n v="114069.87162990513"/>
    <n v="-11338.469502282343"/>
    <n v="-904.11291492299313"/>
    <n v="-12242.582417205336"/>
    <n v="0"/>
    <n v="0"/>
    <n v="0"/>
    <n v="-12242.582417205336"/>
  </r>
  <r>
    <x v="7"/>
    <d v="2024-09-04T00:00:00"/>
    <d v="2024-09-24T00:00:00"/>
    <x v="7"/>
    <n v="9"/>
    <n v="70"/>
    <n v="1702.5353974612706"/>
    <n v="1533.3045093675044"/>
    <n v="107331.31565572531"/>
    <n v="119177.47782228894"/>
    <n v="-11846.162166563634"/>
    <n v="-944.59558275536597"/>
    <n v="-12790.757749319"/>
    <n v="0"/>
    <n v="0"/>
    <n v="0"/>
    <n v="-12790.757749319"/>
  </r>
  <r>
    <x v="8"/>
    <d v="2024-10-03T00:00:00"/>
    <d v="2024-10-24T00:00:00"/>
    <x v="7"/>
    <n v="9"/>
    <n v="72"/>
    <n v="1702.5353974612706"/>
    <n v="1533.3045093675044"/>
    <n v="110397.92467446032"/>
    <n v="122582.54861721148"/>
    <n v="-12184.623942751161"/>
    <n v="-971.58402797694794"/>
    <n v="-13156.207970728108"/>
    <n v="0"/>
    <n v="0"/>
    <n v="0"/>
    <n v="-13156.207970728108"/>
  </r>
  <r>
    <x v="9"/>
    <d v="2024-11-05T00:00:00"/>
    <d v="2024-11-25T00:00:00"/>
    <x v="7"/>
    <n v="9"/>
    <n v="73"/>
    <n v="1702.5353974612706"/>
    <n v="1533.3045093675044"/>
    <n v="111931.22918382782"/>
    <n v="124285.08401467276"/>
    <n v="-12353.854830844939"/>
    <n v="-985.07825058773881"/>
    <n v="-13338.933081432679"/>
    <n v="0"/>
    <n v="0"/>
    <n v="0"/>
    <n v="-13338.933081432679"/>
  </r>
  <r>
    <x v="10"/>
    <d v="2024-12-04T00:00:00"/>
    <d v="2024-12-24T00:00:00"/>
    <x v="7"/>
    <n v="9"/>
    <n v="72"/>
    <n v="1702.5353974612706"/>
    <n v="1533.3045093675044"/>
    <n v="110397.92467446032"/>
    <n v="122582.54861721148"/>
    <n v="-12184.623942751161"/>
    <n v="-971.58402797694794"/>
    <n v="-13156.207970728108"/>
    <n v="0"/>
    <n v="0"/>
    <n v="0"/>
    <n v="-13156.207970728108"/>
  </r>
  <r>
    <x v="11"/>
    <d v="2025-01-03T00:00:00"/>
    <d v="2025-01-24T00:00:00"/>
    <x v="7"/>
    <n v="9"/>
    <n v="65"/>
    <n v="1702.5353974612706"/>
    <n v="1533.3045093675044"/>
    <n v="99664.793108887781"/>
    <n v="110664.80083498258"/>
    <n v="-11000.007726094802"/>
    <n v="-877.12446970141139"/>
    <n v="-11877.132195796214"/>
    <n v="0"/>
    <n v="0"/>
    <n v="0"/>
    <n v="-11877.132195796214"/>
  </r>
  <r>
    <x v="0"/>
    <d v="2024-02-05T00:00:00"/>
    <d v="2024-02-26T00:00:00"/>
    <x v="8"/>
    <n v="9"/>
    <n v="1452"/>
    <n v="1702.5353974612706"/>
    <n v="1533.3045093675044"/>
    <n v="2226358.1476016161"/>
    <n v="2472081.3971137647"/>
    <n v="-245723.24951214856"/>
    <n v="-19593.61123086845"/>
    <n v="-265316.86074301699"/>
    <n v="0"/>
    <n v="0"/>
    <n v="0"/>
    <n v="-265316.86074301699"/>
  </r>
  <r>
    <x v="1"/>
    <d v="2024-03-05T00:00:00"/>
    <d v="2024-03-25T00:00:00"/>
    <x v="8"/>
    <n v="9"/>
    <n v="966"/>
    <n v="1702.5353974612706"/>
    <n v="1533.3045093675044"/>
    <n v="1481172.1560490092"/>
    <n v="1644649.1939475874"/>
    <n v="-163477.03789857822"/>
    <n v="-13035.41904202405"/>
    <n v="-176512.45694060228"/>
    <n v="0"/>
    <n v="0"/>
    <n v="0"/>
    <n v="-176512.45694060228"/>
  </r>
  <r>
    <x v="2"/>
    <d v="2024-04-03T00:00:00"/>
    <d v="2024-04-24T00:00:00"/>
    <x v="8"/>
    <n v="9"/>
    <n v="732"/>
    <n v="1702.5353974612706"/>
    <n v="1533.3045093675044"/>
    <n v="1122378.9008570132"/>
    <n v="1246255.9109416502"/>
    <n v="-123877.01008463698"/>
    <n v="-9877.7709510989698"/>
    <n v="-133754.78103573594"/>
    <n v="0"/>
    <n v="0"/>
    <n v="0"/>
    <n v="-133754.78103573594"/>
  </r>
  <r>
    <x v="3"/>
    <d v="2024-05-03T00:00:00"/>
    <d v="2024-05-24T00:00:00"/>
    <x v="8"/>
    <n v="9"/>
    <n v="547"/>
    <n v="1702.5353974612706"/>
    <n v="1533.3045093675044"/>
    <n v="838717.56662402488"/>
    <n v="931286.86241131497"/>
    <n v="-92569.295787290088"/>
    <n v="-7381.3397681026454"/>
    <n v="-99950.635555392728"/>
    <n v="0"/>
    <n v="0"/>
    <n v="0"/>
    <n v="-99950.635555392728"/>
  </r>
  <r>
    <x v="4"/>
    <d v="2024-06-05T00:00:00"/>
    <d v="2024-06-24T00:00:00"/>
    <x v="8"/>
    <n v="9"/>
    <n v="747"/>
    <n v="1702.5353974612706"/>
    <n v="1533.3045093675044"/>
    <n v="1145378.4684975257"/>
    <n v="1271793.941903569"/>
    <n v="-126415.47340604337"/>
    <n v="-10080.184290260835"/>
    <n v="-136495.6576963042"/>
    <n v="0"/>
    <n v="0"/>
    <n v="0"/>
    <n v="-136495.6576963042"/>
  </r>
  <r>
    <x v="5"/>
    <d v="2024-07-03T00:00:00"/>
    <d v="2024-07-24T00:00:00"/>
    <x v="8"/>
    <n v="9"/>
    <n v="917"/>
    <n v="1702.5353974612706"/>
    <n v="1533.3045093675044"/>
    <n v="1406040.2350900015"/>
    <n v="1561224.9594719852"/>
    <n v="-155184.72438198375"/>
    <n v="-12374.202134095294"/>
    <n v="-167558.92651607905"/>
    <n v="0"/>
    <n v="0"/>
    <n v="0"/>
    <n v="-167558.92651607905"/>
  </r>
  <r>
    <x v="6"/>
    <d v="2024-08-05T00:00:00"/>
    <d v="2024-08-26T00:00:00"/>
    <x v="8"/>
    <n v="9"/>
    <n v="950"/>
    <n v="1702.5353974612706"/>
    <n v="1533.3045093675044"/>
    <n v="1456639.2838991291"/>
    <n v="1617408.6275882071"/>
    <n v="-160769.343689078"/>
    <n v="-12819.511480251396"/>
    <n v="-173588.85516932938"/>
    <n v="0"/>
    <n v="0"/>
    <n v="0"/>
    <n v="-173588.85516932938"/>
  </r>
  <r>
    <x v="7"/>
    <d v="2024-09-04T00:00:00"/>
    <d v="2024-09-24T00:00:00"/>
    <x v="8"/>
    <n v="9"/>
    <n v="940"/>
    <n v="1702.5353974612706"/>
    <n v="1533.3045093675044"/>
    <n v="1441306.238805454"/>
    <n v="1600383.2736135942"/>
    <n v="-159077.03480814025"/>
    <n v="-12684.569254143486"/>
    <n v="-171761.60406228373"/>
    <n v="0"/>
    <n v="0"/>
    <n v="0"/>
    <n v="-171761.60406228373"/>
  </r>
  <r>
    <x v="8"/>
    <d v="2024-10-03T00:00:00"/>
    <d v="2024-10-24T00:00:00"/>
    <x v="8"/>
    <n v="9"/>
    <n v="816"/>
    <n v="1702.5353974612706"/>
    <n v="1533.3045093675044"/>
    <n v="1251176.4796438836"/>
    <n v="1389268.8843283968"/>
    <n v="-138092.40468451311"/>
    <n v="-11011.285650405409"/>
    <n v="-149103.69033491853"/>
    <n v="0"/>
    <n v="0"/>
    <n v="0"/>
    <n v="-149103.69033491853"/>
  </r>
  <r>
    <x v="9"/>
    <d v="2024-11-05T00:00:00"/>
    <d v="2024-11-25T00:00:00"/>
    <x v="8"/>
    <n v="9"/>
    <n v="683"/>
    <n v="1702.5353974612706"/>
    <n v="1533.3045093675044"/>
    <n v="1047246.9798980055"/>
    <n v="1162831.6764660478"/>
    <n v="-115584.69656804227"/>
    <n v="-9216.5540431702138"/>
    <n v="-124801.25061121248"/>
    <n v="0"/>
    <n v="0"/>
    <n v="0"/>
    <n v="-124801.25061121248"/>
  </r>
  <r>
    <x v="10"/>
    <d v="2024-12-04T00:00:00"/>
    <d v="2024-12-24T00:00:00"/>
    <x v="8"/>
    <n v="9"/>
    <n v="525"/>
    <n v="1702.5353974612706"/>
    <n v="1533.3045093675044"/>
    <n v="804984.86741793982"/>
    <n v="893831.083667167"/>
    <n v="-88846.216249227175"/>
    <n v="-7084.4668706652456"/>
    <n v="-95930.683119892419"/>
    <n v="0"/>
    <n v="0"/>
    <n v="0"/>
    <n v="-95930.683119892419"/>
  </r>
  <r>
    <x v="11"/>
    <d v="2025-01-03T00:00:00"/>
    <d v="2025-01-24T00:00:00"/>
    <x v="8"/>
    <n v="9"/>
    <n v="863"/>
    <n v="1702.5353974612706"/>
    <n v="1533.3045093675044"/>
    <n v="1323241.7915841562"/>
    <n v="1469288.0480090766"/>
    <n v="-146046.2564249204"/>
    <n v="-11645.514113112584"/>
    <n v="-157691.77053803299"/>
    <n v="0"/>
    <n v="0"/>
    <n v="0"/>
    <n v="-157691.77053803299"/>
  </r>
  <r>
    <x v="0"/>
    <d v="2024-02-05T00:00:00"/>
    <d v="2024-02-26T00:00:00"/>
    <x v="9"/>
    <n v="9"/>
    <n v="8"/>
    <n v="1702.5353974612706"/>
    <n v="1533.3045093675044"/>
    <n v="12266.436074940035"/>
    <n v="13620.283179690165"/>
    <n v="-1353.8471047501298"/>
    <n v="-107.95378088632755"/>
    <n v="-1461.8008856364575"/>
    <n v="0"/>
    <n v="0"/>
    <n v="0"/>
    <n v="-1461.8008856364575"/>
  </r>
  <r>
    <x v="1"/>
    <d v="2024-03-05T00:00:00"/>
    <d v="2024-03-25T00:00:00"/>
    <x v="9"/>
    <n v="9"/>
    <n v="5"/>
    <n v="1702.5353974612706"/>
    <n v="1533.3045093675044"/>
    <n v="7666.522546837522"/>
    <n v="8512.6769873063531"/>
    <n v="-846.15444046883113"/>
    <n v="-67.471113053954724"/>
    <n v="-913.62555352278582"/>
    <n v="0"/>
    <n v="0"/>
    <n v="0"/>
    <n v="-913.62555352278582"/>
  </r>
  <r>
    <x v="2"/>
    <d v="2024-04-03T00:00:00"/>
    <d v="2024-04-24T00:00:00"/>
    <x v="9"/>
    <n v="9"/>
    <n v="5"/>
    <n v="1702.5353974612706"/>
    <n v="1533.3045093675044"/>
    <n v="7666.522546837522"/>
    <n v="8512.6769873063531"/>
    <n v="-846.15444046883113"/>
    <n v="-67.471113053954724"/>
    <n v="-913.62555352278582"/>
    <n v="0"/>
    <n v="0"/>
    <n v="0"/>
    <n v="-913.62555352278582"/>
  </r>
  <r>
    <x v="3"/>
    <d v="2024-05-03T00:00:00"/>
    <d v="2024-05-24T00:00:00"/>
    <x v="9"/>
    <n v="9"/>
    <n v="6"/>
    <n v="1702.5353974612706"/>
    <n v="1533.3045093675044"/>
    <n v="9199.8270562050257"/>
    <n v="10215.212384767623"/>
    <n v="-1015.3853285625974"/>
    <n v="-80.965335664745652"/>
    <n v="-1096.350664227343"/>
    <n v="0"/>
    <n v="0"/>
    <n v="0"/>
    <n v="-1096.350664227343"/>
  </r>
  <r>
    <x v="4"/>
    <d v="2024-06-05T00:00:00"/>
    <d v="2024-06-24T00:00:00"/>
    <x v="9"/>
    <n v="9"/>
    <n v="9"/>
    <n v="1702.5353974612706"/>
    <n v="1533.3045093675044"/>
    <n v="13799.740584307539"/>
    <n v="15322.818577151435"/>
    <n v="-1523.0779928438951"/>
    <n v="-121.44800349711849"/>
    <n v="-1644.5259963410135"/>
    <n v="0"/>
    <n v="0"/>
    <n v="0"/>
    <n v="-1644.5259963410135"/>
  </r>
  <r>
    <x v="5"/>
    <d v="2024-07-03T00:00:00"/>
    <d v="2024-07-24T00:00:00"/>
    <x v="9"/>
    <n v="9"/>
    <n v="14"/>
    <n v="1702.5353974612706"/>
    <n v="1533.3045093675044"/>
    <n v="21466.26313114506"/>
    <n v="23835.495564457789"/>
    <n v="-2369.232433312729"/>
    <n v="-188.91911655107322"/>
    <n v="-2558.1515498638023"/>
    <n v="0"/>
    <n v="0"/>
    <n v="0"/>
    <n v="-2558.1515498638023"/>
  </r>
  <r>
    <x v="6"/>
    <d v="2024-08-05T00:00:00"/>
    <d v="2024-08-26T00:00:00"/>
    <x v="9"/>
    <n v="9"/>
    <n v="17"/>
    <n v="1702.5353974612706"/>
    <n v="1533.3045093675044"/>
    <n v="26066.176659247572"/>
    <n v="28943.101756841599"/>
    <n v="-2876.9250975940267"/>
    <n v="-229.40178438344603"/>
    <n v="-3106.3268819774726"/>
    <n v="0"/>
    <n v="0"/>
    <n v="0"/>
    <n v="-3106.3268819774726"/>
  </r>
  <r>
    <x v="7"/>
    <d v="2024-09-04T00:00:00"/>
    <d v="2024-09-24T00:00:00"/>
    <x v="9"/>
    <n v="9"/>
    <n v="19"/>
    <n v="1702.5353974612706"/>
    <n v="1533.3045093675044"/>
    <n v="29132.785677982582"/>
    <n v="32348.172551764143"/>
    <n v="-3215.386873781561"/>
    <n v="-256.39022960502791"/>
    <n v="-3471.7771033865888"/>
    <n v="0"/>
    <n v="0"/>
    <n v="0"/>
    <n v="-3471.7771033865888"/>
  </r>
  <r>
    <x v="8"/>
    <d v="2024-10-03T00:00:00"/>
    <d v="2024-10-24T00:00:00"/>
    <x v="9"/>
    <n v="9"/>
    <n v="11"/>
    <n v="1702.5353974612706"/>
    <n v="1533.3045093675044"/>
    <n v="16866.349603042549"/>
    <n v="18727.889372073976"/>
    <n v="-1861.5397690314276"/>
    <n v="-148.43644871870038"/>
    <n v="-2009.9762177501279"/>
    <n v="0"/>
    <n v="0"/>
    <n v="0"/>
    <n v="-2009.9762177501279"/>
  </r>
  <r>
    <x v="9"/>
    <d v="2024-11-05T00:00:00"/>
    <d v="2024-11-25T00:00:00"/>
    <x v="9"/>
    <n v="9"/>
    <n v="6"/>
    <n v="1702.5353974612706"/>
    <n v="1533.3045093675044"/>
    <n v="9199.8270562050257"/>
    <n v="10215.212384767623"/>
    <n v="-1015.3853285625974"/>
    <n v="-80.965335664745652"/>
    <n v="-1096.350664227343"/>
    <n v="0"/>
    <n v="0"/>
    <n v="0"/>
    <n v="-1096.350664227343"/>
  </r>
  <r>
    <x v="10"/>
    <d v="2024-12-04T00:00:00"/>
    <d v="2024-12-24T00:00:00"/>
    <x v="9"/>
    <n v="9"/>
    <n v="6"/>
    <n v="1702.5353974612706"/>
    <n v="1533.3045093675044"/>
    <n v="9199.8270562050257"/>
    <n v="10215.212384767623"/>
    <n v="-1015.3853285625974"/>
    <n v="-80.965335664745652"/>
    <n v="-1096.350664227343"/>
    <n v="0"/>
    <n v="0"/>
    <n v="0"/>
    <n v="-1096.350664227343"/>
  </r>
  <r>
    <x v="11"/>
    <d v="2025-01-03T00:00:00"/>
    <d v="2025-01-24T00:00:00"/>
    <x v="9"/>
    <n v="9"/>
    <n v="6"/>
    <n v="1702.5353974612706"/>
    <n v="1533.3045093675044"/>
    <n v="9199.8270562050257"/>
    <n v="10215.212384767623"/>
    <n v="-1015.3853285625974"/>
    <n v="-80.965335664745652"/>
    <n v="-1096.350664227343"/>
    <n v="0"/>
    <n v="0"/>
    <n v="0"/>
    <n v="-1096.350664227343"/>
  </r>
  <r>
    <x v="0"/>
    <d v="2024-02-05T00:00:00"/>
    <d v="2024-02-26T00:00:00"/>
    <x v="10"/>
    <n v="9"/>
    <n v="4"/>
    <n v="1702.5353974612706"/>
    <n v="1533.3045093675044"/>
    <n v="6133.2180374700174"/>
    <n v="6810.1415898450823"/>
    <n v="-676.9235523750649"/>
    <n v="-53.976890443163775"/>
    <n v="-730.90044281822873"/>
    <n v="0"/>
    <n v="0"/>
    <n v="0"/>
    <n v="-730.90044281822873"/>
  </r>
  <r>
    <x v="1"/>
    <d v="2024-03-05T00:00:00"/>
    <d v="2024-03-25T00:00:00"/>
    <x v="10"/>
    <n v="9"/>
    <n v="3"/>
    <n v="1702.5353974612706"/>
    <n v="1533.3045093675044"/>
    <n v="4599.9135281025128"/>
    <n v="5107.6061923838115"/>
    <n v="-507.69266428129868"/>
    <n v="-40.482667832372826"/>
    <n v="-548.17533211367152"/>
    <n v="0"/>
    <n v="0"/>
    <n v="0"/>
    <n v="-548.17533211367152"/>
  </r>
  <r>
    <x v="2"/>
    <d v="2024-04-03T00:00:00"/>
    <d v="2024-04-24T00:00:00"/>
    <x v="10"/>
    <n v="9"/>
    <n v="3"/>
    <n v="1702.5353974612706"/>
    <n v="1533.3045093675044"/>
    <n v="4599.9135281025128"/>
    <n v="5107.6061923838115"/>
    <n v="-507.69266428129868"/>
    <n v="-40.482667832372826"/>
    <n v="-548.17533211367152"/>
    <n v="0"/>
    <n v="0"/>
    <n v="0"/>
    <n v="-548.17533211367152"/>
  </r>
  <r>
    <x v="3"/>
    <d v="2024-05-03T00:00:00"/>
    <d v="2024-05-24T00:00:00"/>
    <x v="10"/>
    <n v="9"/>
    <n v="2"/>
    <n v="1702.5353974612706"/>
    <n v="1533.3045093675044"/>
    <n v="3066.6090187350087"/>
    <n v="3405.0707949225412"/>
    <n v="-338.46177618753245"/>
    <n v="-26.988445221581888"/>
    <n v="-365.45022140911436"/>
    <n v="0"/>
    <n v="0"/>
    <n v="0"/>
    <n v="-365.45022140911436"/>
  </r>
  <r>
    <x v="4"/>
    <d v="2024-06-05T00:00:00"/>
    <d v="2024-06-24T00:00:00"/>
    <x v="10"/>
    <n v="9"/>
    <n v="4"/>
    <n v="1702.5353974612706"/>
    <n v="1533.3045093675044"/>
    <n v="6133.2180374700174"/>
    <n v="6810.1415898450823"/>
    <n v="-676.9235523750649"/>
    <n v="-53.976890443163775"/>
    <n v="-730.90044281822873"/>
    <n v="0"/>
    <n v="0"/>
    <n v="0"/>
    <n v="-730.90044281822873"/>
  </r>
  <r>
    <x v="5"/>
    <d v="2024-07-03T00:00:00"/>
    <d v="2024-07-24T00:00:00"/>
    <x v="10"/>
    <n v="9"/>
    <n v="4"/>
    <n v="1702.5353974612706"/>
    <n v="1533.3045093675044"/>
    <n v="6133.2180374700174"/>
    <n v="6810.1415898450823"/>
    <n v="-676.9235523750649"/>
    <n v="-53.976890443163775"/>
    <n v="-730.90044281822873"/>
    <n v="0"/>
    <n v="0"/>
    <n v="0"/>
    <n v="-730.90044281822873"/>
  </r>
  <r>
    <x v="6"/>
    <d v="2024-08-05T00:00:00"/>
    <d v="2024-08-26T00:00:00"/>
    <x v="10"/>
    <n v="9"/>
    <n v="6"/>
    <n v="1702.5353974612706"/>
    <n v="1533.3045093675044"/>
    <n v="9199.8270562050257"/>
    <n v="10215.212384767623"/>
    <n v="-1015.3853285625974"/>
    <n v="-80.965335664745652"/>
    <n v="-1096.350664227343"/>
    <n v="0"/>
    <n v="0"/>
    <n v="0"/>
    <n v="-1096.350664227343"/>
  </r>
  <r>
    <x v="7"/>
    <d v="2024-09-04T00:00:00"/>
    <d v="2024-09-24T00:00:00"/>
    <x v="10"/>
    <n v="9"/>
    <n v="6"/>
    <n v="1702.5353974612706"/>
    <n v="1533.3045093675044"/>
    <n v="9199.8270562050257"/>
    <n v="10215.212384767623"/>
    <n v="-1015.3853285625974"/>
    <n v="-80.965335664745652"/>
    <n v="-1096.350664227343"/>
    <n v="0"/>
    <n v="0"/>
    <n v="0"/>
    <n v="-1096.350664227343"/>
  </r>
  <r>
    <x v="8"/>
    <d v="2024-10-03T00:00:00"/>
    <d v="2024-10-24T00:00:00"/>
    <x v="10"/>
    <n v="9"/>
    <n v="3"/>
    <n v="1702.5353974612706"/>
    <n v="1533.3045093675044"/>
    <n v="4599.9135281025128"/>
    <n v="5107.6061923838115"/>
    <n v="-507.69266428129868"/>
    <n v="-40.482667832372826"/>
    <n v="-548.17533211367152"/>
    <n v="0"/>
    <n v="0"/>
    <n v="0"/>
    <n v="-548.17533211367152"/>
  </r>
  <r>
    <x v="9"/>
    <d v="2024-11-05T00:00:00"/>
    <d v="2024-11-25T00:00:00"/>
    <x v="10"/>
    <n v="9"/>
    <n v="6"/>
    <n v="1702.5353974612706"/>
    <n v="1533.3045093675044"/>
    <n v="9199.8270562050257"/>
    <n v="10215.212384767623"/>
    <n v="-1015.3853285625974"/>
    <n v="-80.965335664745652"/>
    <n v="-1096.350664227343"/>
    <n v="0"/>
    <n v="0"/>
    <n v="0"/>
    <n v="-1096.350664227343"/>
  </r>
  <r>
    <x v="10"/>
    <d v="2024-12-04T00:00:00"/>
    <d v="2024-12-24T00:00:00"/>
    <x v="10"/>
    <n v="9"/>
    <n v="1"/>
    <n v="1702.5353974612706"/>
    <n v="1533.3045093675044"/>
    <n v="1533.3045093675044"/>
    <n v="1702.5353974612706"/>
    <n v="-169.23088809376623"/>
    <n v="-13.494222610790944"/>
    <n v="-182.72511070455718"/>
    <n v="0"/>
    <n v="0"/>
    <n v="0"/>
    <n v="-182.72511070455718"/>
  </r>
  <r>
    <x v="11"/>
    <d v="2025-01-03T00:00:00"/>
    <d v="2025-01-24T00:00:00"/>
    <x v="10"/>
    <n v="9"/>
    <n v="3"/>
    <n v="1702.5353974612706"/>
    <n v="1533.3045093675044"/>
    <n v="4599.9135281025128"/>
    <n v="5107.6061923838115"/>
    <n v="-507.69266428129868"/>
    <n v="-40.482667832372826"/>
    <n v="-548.17533211367152"/>
    <n v="0"/>
    <n v="0"/>
    <n v="0"/>
    <n v="-548.17533211367152"/>
  </r>
  <r>
    <x v="0"/>
    <d v="2024-02-05T00:00:00"/>
    <d v="2024-02-26T00:00:00"/>
    <x v="11"/>
    <n v="9"/>
    <n v="145"/>
    <n v="1702.5353974612706"/>
    <n v="1533.3045093675044"/>
    <n v="222329.15385828813"/>
    <n v="246867.63263188425"/>
    <n v="-24538.478773596114"/>
    <n v="-1956.6622785646866"/>
    <n v="-26495.141052160801"/>
    <n v="0"/>
    <n v="0"/>
    <n v="0"/>
    <n v="-26495.141052160801"/>
  </r>
  <r>
    <x v="1"/>
    <d v="2024-03-05T00:00:00"/>
    <d v="2024-03-25T00:00:00"/>
    <x v="11"/>
    <n v="9"/>
    <n v="100"/>
    <n v="1702.5353974612706"/>
    <n v="1533.3045093675044"/>
    <n v="153330.45093675042"/>
    <n v="170253.53974612706"/>
    <n v="-16923.088809376641"/>
    <n v="-1349.4222610790944"/>
    <n v="-18272.511070455734"/>
    <n v="0"/>
    <n v="0"/>
    <n v="0"/>
    <n v="-18272.511070455734"/>
  </r>
  <r>
    <x v="2"/>
    <d v="2024-04-03T00:00:00"/>
    <d v="2024-04-24T00:00:00"/>
    <x v="11"/>
    <n v="9"/>
    <n v="92"/>
    <n v="1702.5353974612706"/>
    <n v="1533.3045093675044"/>
    <n v="141064.0148618104"/>
    <n v="156633.2565664369"/>
    <n v="-15569.241704626504"/>
    <n v="-1241.4684801927667"/>
    <n v="-16810.710184819269"/>
    <n v="0"/>
    <n v="0"/>
    <n v="0"/>
    <n v="-16810.710184819269"/>
  </r>
  <r>
    <x v="3"/>
    <d v="2024-05-03T00:00:00"/>
    <d v="2024-05-24T00:00:00"/>
    <x v="11"/>
    <n v="9"/>
    <n v="101"/>
    <n v="1702.5353974612706"/>
    <n v="1533.3045093675044"/>
    <n v="154863.75544611795"/>
    <n v="171956.07514358833"/>
    <n v="-17092.319697470375"/>
    <n v="-1362.9164836898854"/>
    <n v="-18455.23618116026"/>
    <n v="0"/>
    <n v="0"/>
    <n v="0"/>
    <n v="-18455.23618116026"/>
  </r>
  <r>
    <x v="4"/>
    <d v="2024-06-05T00:00:00"/>
    <d v="2024-06-24T00:00:00"/>
    <x v="11"/>
    <n v="9"/>
    <n v="118"/>
    <n v="1702.5353974612706"/>
    <n v="1533.3045093675044"/>
    <n v="180929.9321053655"/>
    <n v="200899.17690042994"/>
    <n v="-19969.244795064442"/>
    <n v="-1592.3182680733312"/>
    <n v="-21561.563063137772"/>
    <n v="0"/>
    <n v="0"/>
    <n v="0"/>
    <n v="-21561.563063137772"/>
  </r>
  <r>
    <x v="5"/>
    <d v="2024-07-03T00:00:00"/>
    <d v="2024-07-24T00:00:00"/>
    <x v="11"/>
    <n v="9"/>
    <n v="173"/>
    <n v="1702.5353974612706"/>
    <n v="1533.3045093675044"/>
    <n v="265261.68012057827"/>
    <n v="294538.62376079982"/>
    <n v="-29276.943640221551"/>
    <n v="-2334.5005116668331"/>
    <n v="-31611.444151888383"/>
    <n v="0"/>
    <n v="0"/>
    <n v="0"/>
    <n v="-31611.444151888383"/>
  </r>
  <r>
    <x v="6"/>
    <d v="2024-08-05T00:00:00"/>
    <d v="2024-08-26T00:00:00"/>
    <x v="11"/>
    <n v="9"/>
    <n v="164"/>
    <n v="1702.5353974612706"/>
    <n v="1533.3045093675044"/>
    <n v="251461.93953627071"/>
    <n v="279215.80518364836"/>
    <n v="-27753.86564737765"/>
    <n v="-2213.0525081697147"/>
    <n v="-29966.918155547366"/>
    <n v="0"/>
    <n v="0"/>
    <n v="0"/>
    <n v="-29966.918155547366"/>
  </r>
  <r>
    <x v="7"/>
    <d v="2024-09-04T00:00:00"/>
    <d v="2024-09-24T00:00:00"/>
    <x v="11"/>
    <n v="9"/>
    <n v="170"/>
    <n v="1702.5353974612706"/>
    <n v="1533.3045093675044"/>
    <n v="260661.76659247573"/>
    <n v="289431.01756841602"/>
    <n v="-28769.250975940289"/>
    <n v="-2294.0178438344601"/>
    <n v="-31063.268819774748"/>
    <n v="0"/>
    <n v="0"/>
    <n v="0"/>
    <n v="-31063.268819774748"/>
  </r>
  <r>
    <x v="8"/>
    <d v="2024-10-03T00:00:00"/>
    <d v="2024-10-24T00:00:00"/>
    <x v="11"/>
    <n v="9"/>
    <n v="156"/>
    <n v="1702.5353974612706"/>
    <n v="1533.3045093675044"/>
    <n v="239195.50346133069"/>
    <n v="265595.52200395823"/>
    <n v="-26400.018542627542"/>
    <n v="-2105.0987272833872"/>
    <n v="-28505.11726991093"/>
    <n v="0"/>
    <n v="0"/>
    <n v="0"/>
    <n v="-28505.11726991093"/>
  </r>
  <r>
    <x v="9"/>
    <d v="2024-11-05T00:00:00"/>
    <d v="2024-11-25T00:00:00"/>
    <x v="11"/>
    <n v="9"/>
    <n v="139"/>
    <n v="1702.5353974612706"/>
    <n v="1533.3045093675044"/>
    <n v="213129.32680208312"/>
    <n v="236652.42024711662"/>
    <n v="-23523.093445033504"/>
    <n v="-1875.6969428999412"/>
    <n v="-25398.790387933444"/>
    <n v="0"/>
    <n v="0"/>
    <n v="0"/>
    <n v="-25398.790387933444"/>
  </r>
  <r>
    <x v="10"/>
    <d v="2024-12-04T00:00:00"/>
    <d v="2024-12-24T00:00:00"/>
    <x v="11"/>
    <n v="9"/>
    <n v="90"/>
    <n v="1702.5353974612706"/>
    <n v="1533.3045093675044"/>
    <n v="137997.40584307539"/>
    <n v="153228.18577151434"/>
    <n v="-15230.779928438948"/>
    <n v="-1214.480034971185"/>
    <n v="-16445.259963410132"/>
    <n v="0"/>
    <n v="0"/>
    <n v="0"/>
    <n v="-16445.259963410132"/>
  </r>
  <r>
    <x v="11"/>
    <d v="2025-01-03T00:00:00"/>
    <d v="2025-01-24T00:00:00"/>
    <x v="11"/>
    <n v="9"/>
    <n v="110"/>
    <n v="1702.5353974612706"/>
    <n v="1533.3045093675044"/>
    <n v="168663.49603042548"/>
    <n v="187278.89372073975"/>
    <n v="-18615.397690314276"/>
    <n v="-1484.3644871870038"/>
    <n v="-20099.762177501281"/>
    <n v="0"/>
    <n v="0"/>
    <n v="0"/>
    <n v="-20099.762177501281"/>
  </r>
  <r>
    <x v="0"/>
    <d v="2024-02-05T00:00:00"/>
    <d v="2024-02-26T00:00:00"/>
    <x v="12"/>
    <n v="9"/>
    <n v="9"/>
    <n v="1702.5353974612706"/>
    <n v="1533.3045093675044"/>
    <n v="13799.740584307539"/>
    <n v="15322.818577151435"/>
    <n v="-1523.0779928438951"/>
    <n v="-121.44800349711849"/>
    <n v="-1644.5259963410135"/>
    <n v="0"/>
    <n v="0"/>
    <n v="0"/>
    <n v="-1644.5259963410135"/>
  </r>
  <r>
    <x v="1"/>
    <d v="2024-03-05T00:00:00"/>
    <d v="2024-03-25T00:00:00"/>
    <x v="12"/>
    <n v="9"/>
    <n v="8"/>
    <n v="1702.5353974612706"/>
    <n v="1533.3045093675044"/>
    <n v="12266.436074940035"/>
    <n v="13620.283179690165"/>
    <n v="-1353.8471047501298"/>
    <n v="-107.95378088632755"/>
    <n v="-1461.8008856364575"/>
    <n v="0"/>
    <n v="0"/>
    <n v="0"/>
    <n v="-1461.8008856364575"/>
  </r>
  <r>
    <x v="2"/>
    <d v="2024-04-03T00:00:00"/>
    <d v="2024-04-24T00:00:00"/>
    <x v="12"/>
    <n v="9"/>
    <n v="10"/>
    <n v="1702.5353974612706"/>
    <n v="1533.3045093675044"/>
    <n v="15333.045093675044"/>
    <n v="17025.353974612706"/>
    <n v="-1692.3088809376623"/>
    <n v="-134.94222610790945"/>
    <n v="-1827.2511070455716"/>
    <n v="0"/>
    <n v="0"/>
    <n v="0"/>
    <n v="-1827.2511070455716"/>
  </r>
  <r>
    <x v="3"/>
    <d v="2024-05-03T00:00:00"/>
    <d v="2024-05-24T00:00:00"/>
    <x v="12"/>
    <n v="9"/>
    <n v="7"/>
    <n v="1702.5353974612706"/>
    <n v="1533.3045093675044"/>
    <n v="10733.13156557253"/>
    <n v="11917.747782228895"/>
    <n v="-1184.6162166563645"/>
    <n v="-94.459558275536608"/>
    <n v="-1279.0757749319012"/>
    <n v="0"/>
    <n v="0"/>
    <n v="0"/>
    <n v="-1279.0757749319012"/>
  </r>
  <r>
    <x v="4"/>
    <d v="2024-06-05T00:00:00"/>
    <d v="2024-06-24T00:00:00"/>
    <x v="12"/>
    <n v="9"/>
    <n v="10"/>
    <n v="1702.5353974612706"/>
    <n v="1533.3045093675044"/>
    <n v="15333.045093675044"/>
    <n v="17025.353974612706"/>
    <n v="-1692.3088809376623"/>
    <n v="-134.94222610790945"/>
    <n v="-1827.2511070455716"/>
    <n v="0"/>
    <n v="0"/>
    <n v="0"/>
    <n v="-1827.2511070455716"/>
  </r>
  <r>
    <x v="5"/>
    <d v="2024-07-03T00:00:00"/>
    <d v="2024-07-24T00:00:00"/>
    <x v="12"/>
    <n v="9"/>
    <n v="10"/>
    <n v="1702.5353974612706"/>
    <n v="1533.3045093675044"/>
    <n v="15333.045093675044"/>
    <n v="17025.353974612706"/>
    <n v="-1692.3088809376623"/>
    <n v="-134.94222610790945"/>
    <n v="-1827.2511070455716"/>
    <n v="0"/>
    <n v="0"/>
    <n v="0"/>
    <n v="-1827.2511070455716"/>
  </r>
  <r>
    <x v="6"/>
    <d v="2024-08-05T00:00:00"/>
    <d v="2024-08-26T00:00:00"/>
    <x v="12"/>
    <n v="9"/>
    <n v="12"/>
    <n v="1702.5353974612706"/>
    <n v="1533.3045093675044"/>
    <n v="18399.654112410051"/>
    <n v="20430.424769535246"/>
    <n v="-2030.7706571251947"/>
    <n v="-161.9306713294913"/>
    <n v="-2192.7013284546861"/>
    <n v="0"/>
    <n v="0"/>
    <n v="0"/>
    <n v="-2192.7013284546861"/>
  </r>
  <r>
    <x v="7"/>
    <d v="2024-09-04T00:00:00"/>
    <d v="2024-09-24T00:00:00"/>
    <x v="12"/>
    <n v="9"/>
    <n v="12"/>
    <n v="1702.5353974612706"/>
    <n v="1533.3045093675044"/>
    <n v="18399.654112410051"/>
    <n v="20430.424769535246"/>
    <n v="-2030.7706571251947"/>
    <n v="-161.9306713294913"/>
    <n v="-2192.7013284546861"/>
    <n v="0"/>
    <n v="0"/>
    <n v="0"/>
    <n v="-2192.7013284546861"/>
  </r>
  <r>
    <x v="8"/>
    <d v="2024-10-03T00:00:00"/>
    <d v="2024-10-24T00:00:00"/>
    <x v="12"/>
    <n v="9"/>
    <n v="11"/>
    <n v="1702.5353974612706"/>
    <n v="1533.3045093675044"/>
    <n v="16866.349603042549"/>
    <n v="18727.889372073976"/>
    <n v="-1861.5397690314276"/>
    <n v="-148.43644871870038"/>
    <n v="-2009.9762177501279"/>
    <n v="0"/>
    <n v="0"/>
    <n v="0"/>
    <n v="-2009.9762177501279"/>
  </r>
  <r>
    <x v="9"/>
    <d v="2024-11-05T00:00:00"/>
    <d v="2024-11-25T00:00:00"/>
    <x v="12"/>
    <n v="9"/>
    <n v="10"/>
    <n v="1702.5353974612706"/>
    <n v="1533.3045093675044"/>
    <n v="15333.045093675044"/>
    <n v="17025.353974612706"/>
    <n v="-1692.3088809376623"/>
    <n v="-134.94222610790945"/>
    <n v="-1827.2511070455716"/>
    <n v="0"/>
    <n v="0"/>
    <n v="0"/>
    <n v="-1827.2511070455716"/>
  </r>
  <r>
    <x v="10"/>
    <d v="2024-12-04T00:00:00"/>
    <d v="2024-12-24T00:00:00"/>
    <x v="12"/>
    <n v="9"/>
    <n v="10"/>
    <n v="1702.5353974612706"/>
    <n v="1533.3045093675044"/>
    <n v="15333.045093675044"/>
    <n v="17025.353974612706"/>
    <n v="-1692.3088809376623"/>
    <n v="-134.94222610790945"/>
    <n v="-1827.2511070455716"/>
    <n v="0"/>
    <n v="0"/>
    <n v="0"/>
    <n v="-1827.2511070455716"/>
  </r>
  <r>
    <x v="11"/>
    <d v="2025-01-03T00:00:00"/>
    <d v="2025-01-24T00:00:00"/>
    <x v="12"/>
    <n v="9"/>
    <n v="10"/>
    <n v="1702.5353974612706"/>
    <n v="1533.3045093675044"/>
    <n v="15333.045093675044"/>
    <n v="17025.353974612706"/>
    <n v="-1692.3088809376623"/>
    <n v="-134.94222610790945"/>
    <n v="-1827.2511070455716"/>
    <n v="0"/>
    <n v="0"/>
    <n v="0"/>
    <n v="-1827.2511070455716"/>
  </r>
  <r>
    <x v="0"/>
    <d v="2024-02-05T00:00:00"/>
    <d v="2024-02-26T00:00:00"/>
    <x v="13"/>
    <n v="9"/>
    <n v="26"/>
    <n v="1702.5353974612706"/>
    <n v="1533.3045093675044"/>
    <n v="39865.917243555115"/>
    <n v="44265.920333993032"/>
    <n v="-4400.0030904379164"/>
    <n v="-350.84978788056452"/>
    <n v="-4750.8528783184811"/>
    <n v="0"/>
    <n v="0"/>
    <n v="0"/>
    <n v="-4750.8528783184811"/>
  </r>
  <r>
    <x v="1"/>
    <d v="2024-03-05T00:00:00"/>
    <d v="2024-03-25T00:00:00"/>
    <x v="13"/>
    <n v="9"/>
    <n v="19"/>
    <n v="1702.5353974612706"/>
    <n v="1533.3045093675044"/>
    <n v="29132.785677982582"/>
    <n v="32348.172551764143"/>
    <n v="-3215.386873781561"/>
    <n v="-256.39022960502791"/>
    <n v="-3471.7771033865888"/>
    <n v="0"/>
    <n v="0"/>
    <n v="0"/>
    <n v="-3471.7771033865888"/>
  </r>
  <r>
    <x v="2"/>
    <d v="2024-04-03T00:00:00"/>
    <d v="2024-04-24T00:00:00"/>
    <x v="13"/>
    <n v="9"/>
    <n v="18"/>
    <n v="1702.5353974612706"/>
    <n v="1533.3045093675044"/>
    <n v="27599.481168615079"/>
    <n v="30645.637154302869"/>
    <n v="-3046.1559856877902"/>
    <n v="-242.89600699423698"/>
    <n v="-3289.051992682027"/>
    <n v="0"/>
    <n v="0"/>
    <n v="0"/>
    <n v="-3289.051992682027"/>
  </r>
  <r>
    <x v="3"/>
    <d v="2024-05-03T00:00:00"/>
    <d v="2024-05-24T00:00:00"/>
    <x v="13"/>
    <n v="9"/>
    <n v="22"/>
    <n v="1702.5353974612706"/>
    <n v="1533.3045093675044"/>
    <n v="33732.699206085097"/>
    <n v="37455.778744147952"/>
    <n v="-3723.0795380628551"/>
    <n v="-296.87289743740075"/>
    <n v="-4019.9524355002559"/>
    <n v="0"/>
    <n v="0"/>
    <n v="0"/>
    <n v="-4019.9524355002559"/>
  </r>
  <r>
    <x v="4"/>
    <d v="2024-06-05T00:00:00"/>
    <d v="2024-06-24T00:00:00"/>
    <x v="13"/>
    <n v="9"/>
    <n v="31"/>
    <n v="1702.5353974612706"/>
    <n v="1533.3045093675044"/>
    <n v="47532.439790392636"/>
    <n v="52778.597321299385"/>
    <n v="-5246.1575309067484"/>
    <n v="-418.32090093451922"/>
    <n v="-5664.4784318412676"/>
    <n v="0"/>
    <n v="0"/>
    <n v="0"/>
    <n v="-5664.4784318412676"/>
  </r>
  <r>
    <x v="5"/>
    <d v="2024-07-03T00:00:00"/>
    <d v="2024-07-24T00:00:00"/>
    <x v="13"/>
    <n v="9"/>
    <n v="36"/>
    <n v="1702.5353974612706"/>
    <n v="1533.3045093675044"/>
    <n v="55198.962337230158"/>
    <n v="61291.274308605738"/>
    <n v="-6092.3119713755805"/>
    <n v="-485.79201398847397"/>
    <n v="-6578.1039853640541"/>
    <n v="0"/>
    <n v="0"/>
    <n v="0"/>
    <n v="-6578.1039853640541"/>
  </r>
  <r>
    <x v="6"/>
    <d v="2024-08-05T00:00:00"/>
    <d v="2024-08-26T00:00:00"/>
    <x v="13"/>
    <n v="9"/>
    <n v="38"/>
    <n v="1702.5353974612706"/>
    <n v="1533.3045093675044"/>
    <n v="58265.571355965163"/>
    <n v="64696.345103528285"/>
    <n v="-6430.773747563122"/>
    <n v="-512.78045921005582"/>
    <n v="-6943.5542067731776"/>
    <n v="0"/>
    <n v="0"/>
    <n v="0"/>
    <n v="-6943.5542067731776"/>
  </r>
  <r>
    <x v="7"/>
    <d v="2024-09-04T00:00:00"/>
    <d v="2024-09-24T00:00:00"/>
    <x v="13"/>
    <n v="9"/>
    <n v="41"/>
    <n v="1702.5353974612706"/>
    <n v="1533.3045093675044"/>
    <n v="62865.484884067679"/>
    <n v="69803.951295912091"/>
    <n v="-6938.4664118444125"/>
    <n v="-553.26312704242866"/>
    <n v="-7491.7295388868415"/>
    <n v="0"/>
    <n v="0"/>
    <n v="0"/>
    <n v="-7491.7295388868415"/>
  </r>
  <r>
    <x v="8"/>
    <d v="2024-10-03T00:00:00"/>
    <d v="2024-10-24T00:00:00"/>
    <x v="13"/>
    <n v="9"/>
    <n v="29"/>
    <n v="1702.5353974612706"/>
    <n v="1533.3045093675044"/>
    <n v="44465.830771657624"/>
    <n v="49373.526526376845"/>
    <n v="-4907.6957547192214"/>
    <n v="-391.3324557129373"/>
    <n v="-5299.0282104321586"/>
    <n v="0"/>
    <n v="0"/>
    <n v="0"/>
    <n v="-5299.0282104321586"/>
  </r>
  <r>
    <x v="9"/>
    <d v="2024-11-05T00:00:00"/>
    <d v="2024-11-25T00:00:00"/>
    <x v="13"/>
    <n v="9"/>
    <n v="26"/>
    <n v="1702.5353974612706"/>
    <n v="1533.3045093675044"/>
    <n v="39865.917243555115"/>
    <n v="44265.920333993032"/>
    <n v="-4400.0030904379164"/>
    <n v="-350.84978788056452"/>
    <n v="-4750.8528783184811"/>
    <n v="0"/>
    <n v="0"/>
    <n v="0"/>
    <n v="-4750.8528783184811"/>
  </r>
  <r>
    <x v="10"/>
    <d v="2024-12-04T00:00:00"/>
    <d v="2024-12-24T00:00:00"/>
    <x v="13"/>
    <n v="9"/>
    <n v="22"/>
    <n v="1702.5353974612706"/>
    <n v="1533.3045093675044"/>
    <n v="33732.699206085097"/>
    <n v="37455.778744147952"/>
    <n v="-3723.0795380628551"/>
    <n v="-296.87289743740075"/>
    <n v="-4019.9524355002559"/>
    <n v="0"/>
    <n v="0"/>
    <n v="0"/>
    <n v="-4019.9524355002559"/>
  </r>
  <r>
    <x v="11"/>
    <d v="2025-01-03T00:00:00"/>
    <d v="2025-01-24T00:00:00"/>
    <x v="13"/>
    <n v="9"/>
    <n v="18"/>
    <n v="1702.5353974612706"/>
    <n v="1533.3045093675044"/>
    <n v="27599.481168615079"/>
    <n v="30645.637154302869"/>
    <n v="-3046.1559856877902"/>
    <n v="-242.89600699423698"/>
    <n v="-3289.051992682027"/>
    <n v="0"/>
    <n v="0"/>
    <n v="0"/>
    <n v="-3289.051992682027"/>
  </r>
  <r>
    <x v="0"/>
    <d v="2024-02-05T00:00:00"/>
    <d v="2024-02-26T00:00:00"/>
    <x v="14"/>
    <n v="9"/>
    <n v="34"/>
    <n v="1702.5353974612706"/>
    <n v="1533.3045093675044"/>
    <n v="52132.353318495145"/>
    <n v="57886.203513683198"/>
    <n v="-5753.8501951880535"/>
    <n v="-458.80356876689206"/>
    <n v="-6212.6537639549451"/>
    <n v="0"/>
    <n v="0"/>
    <n v="0"/>
    <n v="-6212.6537639549451"/>
  </r>
  <r>
    <x v="1"/>
    <d v="2024-03-05T00:00:00"/>
    <d v="2024-03-25T00:00:00"/>
    <x v="14"/>
    <n v="9"/>
    <n v="32"/>
    <n v="1702.5353974612706"/>
    <n v="1533.3045093675044"/>
    <n v="49065.744299760139"/>
    <n v="54481.132718760658"/>
    <n v="-5415.3884190005192"/>
    <n v="-431.8151235453102"/>
    <n v="-5847.2035425458298"/>
    <n v="0"/>
    <n v="0"/>
    <n v="0"/>
    <n v="-5847.2035425458298"/>
  </r>
  <r>
    <x v="2"/>
    <d v="2024-04-03T00:00:00"/>
    <d v="2024-04-24T00:00:00"/>
    <x v="14"/>
    <n v="9"/>
    <n v="32"/>
    <n v="1702.5353974612706"/>
    <n v="1533.3045093675044"/>
    <n v="49065.744299760139"/>
    <n v="54481.132718760658"/>
    <n v="-5415.3884190005192"/>
    <n v="-431.8151235453102"/>
    <n v="-5847.2035425458298"/>
    <n v="0"/>
    <n v="0"/>
    <n v="0"/>
    <n v="-5847.2035425458298"/>
  </r>
  <r>
    <x v="3"/>
    <d v="2024-05-03T00:00:00"/>
    <d v="2024-05-24T00:00:00"/>
    <x v="14"/>
    <n v="9"/>
    <n v="33"/>
    <n v="1702.5353974612706"/>
    <n v="1533.3045093675044"/>
    <n v="50599.048809127642"/>
    <n v="56183.668116221932"/>
    <n v="-5584.61930709429"/>
    <n v="-445.30934615610107"/>
    <n v="-6029.9286532503911"/>
    <n v="0"/>
    <n v="0"/>
    <n v="0"/>
    <n v="-6029.9286532503911"/>
  </r>
  <r>
    <x v="4"/>
    <d v="2024-06-05T00:00:00"/>
    <d v="2024-06-24T00:00:00"/>
    <x v="14"/>
    <n v="9"/>
    <n v="40"/>
    <n v="1702.5353974612706"/>
    <n v="1533.3045093675044"/>
    <n v="61332.180374700176"/>
    <n v="68101.415898450825"/>
    <n v="-6769.235523750649"/>
    <n v="-539.76890443163779"/>
    <n v="-7309.0044281822866"/>
    <n v="0"/>
    <n v="0"/>
    <n v="0"/>
    <n v="-7309.0044281822866"/>
  </r>
  <r>
    <x v="5"/>
    <d v="2024-07-03T00:00:00"/>
    <d v="2024-07-24T00:00:00"/>
    <x v="14"/>
    <n v="9"/>
    <n v="47"/>
    <n v="1702.5353974612706"/>
    <n v="1533.3045093675044"/>
    <n v="72065.311940272702"/>
    <n v="80019.163680679718"/>
    <n v="-7953.8517404070153"/>
    <n v="-634.22846270717434"/>
    <n v="-8588.0802031141902"/>
    <n v="0"/>
    <n v="0"/>
    <n v="0"/>
    <n v="-8588.0802031141902"/>
  </r>
  <r>
    <x v="6"/>
    <d v="2024-08-05T00:00:00"/>
    <d v="2024-08-26T00:00:00"/>
    <x v="14"/>
    <n v="9"/>
    <n v="47"/>
    <n v="1702.5353974612706"/>
    <n v="1533.3045093675044"/>
    <n v="72065.311940272702"/>
    <n v="80019.163680679718"/>
    <n v="-7953.8517404070153"/>
    <n v="-634.22846270717434"/>
    <n v="-8588.0802031141902"/>
    <n v="0"/>
    <n v="0"/>
    <n v="0"/>
    <n v="-8588.0802031141902"/>
  </r>
  <r>
    <x v="7"/>
    <d v="2024-09-04T00:00:00"/>
    <d v="2024-09-24T00:00:00"/>
    <x v="14"/>
    <n v="9"/>
    <n v="51"/>
    <n v="1702.5353974612706"/>
    <n v="1533.3045093675044"/>
    <n v="78198.529977742728"/>
    <n v="86829.305270524797"/>
    <n v="-8630.7752927820693"/>
    <n v="-688.20535315033806"/>
    <n v="-9318.9806459324082"/>
    <n v="0"/>
    <n v="0"/>
    <n v="0"/>
    <n v="-9318.9806459324082"/>
  </r>
  <r>
    <x v="8"/>
    <d v="2024-10-03T00:00:00"/>
    <d v="2024-10-24T00:00:00"/>
    <x v="14"/>
    <n v="9"/>
    <n v="43"/>
    <n v="1702.5353974612706"/>
    <n v="1533.3045093675044"/>
    <n v="65932.093902802691"/>
    <n v="73209.022090834638"/>
    <n v="-7276.9281880319468"/>
    <n v="-580.25157226401052"/>
    <n v="-7857.1797602959577"/>
    <n v="0"/>
    <n v="0"/>
    <n v="0"/>
    <n v="-7857.1797602959577"/>
  </r>
  <r>
    <x v="9"/>
    <d v="2024-11-05T00:00:00"/>
    <d v="2024-11-25T00:00:00"/>
    <x v="14"/>
    <n v="9"/>
    <n v="37"/>
    <n v="1702.5353974612706"/>
    <n v="1533.3045093675044"/>
    <n v="56732.26684659766"/>
    <n v="62993.809706067012"/>
    <n v="-6261.5428594693512"/>
    <n v="-499.2862365992649"/>
    <n v="-6760.8290960686163"/>
    <n v="0"/>
    <n v="0"/>
    <n v="0"/>
    <n v="-6760.8290960686163"/>
  </r>
  <r>
    <x v="10"/>
    <d v="2024-12-04T00:00:00"/>
    <d v="2024-12-24T00:00:00"/>
    <x v="14"/>
    <n v="9"/>
    <n v="34"/>
    <n v="1702.5353974612706"/>
    <n v="1533.3045093675044"/>
    <n v="52132.353318495145"/>
    <n v="57886.203513683198"/>
    <n v="-5753.8501951880535"/>
    <n v="-458.80356876689206"/>
    <n v="-6212.6537639549451"/>
    <n v="0"/>
    <n v="0"/>
    <n v="0"/>
    <n v="-6212.6537639549451"/>
  </r>
  <r>
    <x v="11"/>
    <d v="2025-01-03T00:00:00"/>
    <d v="2025-01-24T00:00:00"/>
    <x v="14"/>
    <n v="9"/>
    <n v="32"/>
    <n v="1702.5353974612706"/>
    <n v="1533.3045093675044"/>
    <n v="49065.744299760139"/>
    <n v="54481.132718760658"/>
    <n v="-5415.3884190005192"/>
    <n v="-431.8151235453102"/>
    <n v="-5847.2035425458298"/>
    <n v="0"/>
    <n v="0"/>
    <n v="0"/>
    <n v="-5847.2035425458298"/>
  </r>
  <r>
    <x v="0"/>
    <d v="2024-02-05T00:00:00"/>
    <d v="2024-02-26T00:00:00"/>
    <x v="15"/>
    <n v="9"/>
    <n v="104"/>
    <n v="1702.5353974612706"/>
    <n v="1533.3045093675044"/>
    <n v="159463.66897422046"/>
    <n v="177063.68133597213"/>
    <n v="-17600.012361751666"/>
    <n v="-1403.3991515222581"/>
    <n v="-19003.411513273924"/>
    <n v="0"/>
    <n v="0"/>
    <n v="0"/>
    <n v="-19003.411513273924"/>
  </r>
  <r>
    <x v="1"/>
    <d v="2024-03-05T00:00:00"/>
    <d v="2024-03-25T00:00:00"/>
    <x v="15"/>
    <n v="9"/>
    <n v="99"/>
    <n v="1702.5353974612706"/>
    <n v="1533.3045093675044"/>
    <n v="151797.14642738292"/>
    <n v="168551.0043486658"/>
    <n v="-16753.857921282877"/>
    <n v="-1335.9280384683034"/>
    <n v="-18089.785959751182"/>
    <n v="0"/>
    <n v="0"/>
    <n v="0"/>
    <n v="-18089.785959751182"/>
  </r>
  <r>
    <x v="2"/>
    <d v="2024-04-03T00:00:00"/>
    <d v="2024-04-24T00:00:00"/>
    <x v="15"/>
    <n v="9"/>
    <n v="99"/>
    <n v="1702.5353974612706"/>
    <n v="1533.3045093675044"/>
    <n v="151797.14642738292"/>
    <n v="168551.0043486658"/>
    <n v="-16753.857921282877"/>
    <n v="-1335.9280384683034"/>
    <n v="-18089.785959751182"/>
    <n v="0"/>
    <n v="0"/>
    <n v="0"/>
    <n v="-18089.785959751182"/>
  </r>
  <r>
    <x v="3"/>
    <d v="2024-05-03T00:00:00"/>
    <d v="2024-05-24T00:00:00"/>
    <x v="15"/>
    <n v="9"/>
    <n v="99"/>
    <n v="1702.5353974612706"/>
    <n v="1533.3045093675044"/>
    <n v="151797.14642738292"/>
    <n v="168551.0043486658"/>
    <n v="-16753.857921282877"/>
    <n v="-1335.9280384683034"/>
    <n v="-18089.785959751182"/>
    <n v="0"/>
    <n v="0"/>
    <n v="0"/>
    <n v="-18089.785959751182"/>
  </r>
  <r>
    <x v="4"/>
    <d v="2024-06-05T00:00:00"/>
    <d v="2024-06-24T00:00:00"/>
    <x v="15"/>
    <n v="9"/>
    <n v="106"/>
    <n v="1702.5353974612706"/>
    <n v="1533.3045093675044"/>
    <n v="162530.27799295547"/>
    <n v="180468.75213089469"/>
    <n v="-17938.474137939222"/>
    <n v="-1430.38759674384"/>
    <n v="-19368.861734683062"/>
    <n v="0"/>
    <n v="0"/>
    <n v="0"/>
    <n v="-19368.861734683062"/>
  </r>
  <r>
    <x v="5"/>
    <d v="2024-07-03T00:00:00"/>
    <d v="2024-07-24T00:00:00"/>
    <x v="15"/>
    <n v="9"/>
    <n v="120"/>
    <n v="1702.5353974612706"/>
    <n v="1533.3045093675044"/>
    <n v="183996.54112410053"/>
    <n v="204304.24769535247"/>
    <n v="-20307.70657125194"/>
    <n v="-1619.3067132949132"/>
    <n v="-21927.013284546854"/>
    <n v="0"/>
    <n v="0"/>
    <n v="0"/>
    <n v="-21927.013284546854"/>
  </r>
  <r>
    <x v="6"/>
    <d v="2024-08-05T00:00:00"/>
    <d v="2024-08-26T00:00:00"/>
    <x v="15"/>
    <n v="9"/>
    <n v="117"/>
    <n v="1702.5353974612706"/>
    <n v="1533.3045093675044"/>
    <n v="179396.627595998"/>
    <n v="199196.64150296865"/>
    <n v="-19800.013906970649"/>
    <n v="-1578.8240454625404"/>
    <n v="-21378.83795243319"/>
    <n v="0"/>
    <n v="0"/>
    <n v="0"/>
    <n v="-21378.83795243319"/>
  </r>
  <r>
    <x v="7"/>
    <d v="2024-09-04T00:00:00"/>
    <d v="2024-09-24T00:00:00"/>
    <x v="15"/>
    <n v="9"/>
    <n v="118"/>
    <n v="1702.5353974612706"/>
    <n v="1533.3045093675044"/>
    <n v="180929.9321053655"/>
    <n v="200899.17690042994"/>
    <n v="-19969.244795064442"/>
    <n v="-1592.3182680733312"/>
    <n v="-21561.563063137772"/>
    <n v="0"/>
    <n v="0"/>
    <n v="0"/>
    <n v="-21561.563063137772"/>
  </r>
  <r>
    <x v="8"/>
    <d v="2024-10-03T00:00:00"/>
    <d v="2024-10-24T00:00:00"/>
    <x v="15"/>
    <n v="9"/>
    <n v="117"/>
    <n v="1702.5353974612706"/>
    <n v="1533.3045093675044"/>
    <n v="179396.627595998"/>
    <n v="199196.64150296865"/>
    <n v="-19800.013906970649"/>
    <n v="-1578.8240454625404"/>
    <n v="-21378.83795243319"/>
    <n v="0"/>
    <n v="0"/>
    <n v="0"/>
    <n v="-21378.83795243319"/>
  </r>
  <r>
    <x v="9"/>
    <d v="2024-11-05T00:00:00"/>
    <d v="2024-11-25T00:00:00"/>
    <x v="15"/>
    <n v="9"/>
    <n v="107"/>
    <n v="1702.5353974612706"/>
    <n v="1533.3045093675044"/>
    <n v="164063.58250232297"/>
    <n v="182171.28752835596"/>
    <n v="-18107.705026032985"/>
    <n v="-1443.8818193546308"/>
    <n v="-19551.586845387617"/>
    <n v="0"/>
    <n v="0"/>
    <n v="0"/>
    <n v="-19551.586845387617"/>
  </r>
  <r>
    <x v="10"/>
    <d v="2024-12-04T00:00:00"/>
    <d v="2024-12-24T00:00:00"/>
    <x v="15"/>
    <n v="9"/>
    <n v="91"/>
    <n v="1702.5353974612706"/>
    <n v="1533.3045093675044"/>
    <n v="139530.7103524429"/>
    <n v="154930.72116897564"/>
    <n v="-15400.01081653274"/>
    <n v="-1227.974257581976"/>
    <n v="-16627.985074114717"/>
    <n v="0"/>
    <n v="0"/>
    <n v="0"/>
    <n v="-16627.985074114717"/>
  </r>
  <r>
    <x v="11"/>
    <d v="2025-01-03T00:00:00"/>
    <d v="2025-01-24T00:00:00"/>
    <x v="15"/>
    <n v="9"/>
    <n v="102"/>
    <n v="1702.5353974612706"/>
    <n v="1533.3045093675044"/>
    <n v="156397.05995548546"/>
    <n v="173658.61054104959"/>
    <n v="-17261.550585564139"/>
    <n v="-1376.4107063006761"/>
    <n v="-18637.961291864816"/>
    <n v="0"/>
    <n v="0"/>
    <n v="0"/>
    <n v="-18637.9612918648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2" dataOnRows="1" applyNumberFormats="0" applyBorderFormats="0" applyFontFormats="0" applyPatternFormats="0" applyAlignmentFormats="0" applyWidthHeightFormats="1" dataCaption="Data" updatedVersion="8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81">
        <item m="1" x="81"/>
        <item m="1" x="105"/>
        <item m="1" x="129"/>
        <item m="1" x="153"/>
        <item m="1" x="177"/>
        <item m="1" x="57"/>
        <item m="1" x="92"/>
        <item m="1" x="116"/>
        <item m="1" x="140"/>
        <item m="1" x="164"/>
        <item m="1" x="44"/>
        <item m="1" x="68"/>
        <item m="1" x="82"/>
        <item m="1" x="106"/>
        <item m="1" x="130"/>
        <item m="1" x="154"/>
        <item m="1" x="178"/>
        <item m="1" x="58"/>
        <item m="1" x="94"/>
        <item m="1" x="118"/>
        <item m="1" x="142"/>
        <item m="1" x="166"/>
        <item m="1" x="46"/>
        <item m="1" x="70"/>
        <item m="1" x="83"/>
        <item m="1" x="107"/>
        <item m="1" x="131"/>
        <item m="1" x="155"/>
        <item m="1" x="179"/>
        <item m="1" x="59"/>
        <item m="1" x="95"/>
        <item m="1" x="119"/>
        <item m="1" x="143"/>
        <item m="1" x="167"/>
        <item m="1" x="47"/>
        <item m="1" x="71"/>
        <item m="1" x="84"/>
        <item m="1" x="108"/>
        <item m="1" x="132"/>
        <item m="1" x="156"/>
        <item m="1" x="36"/>
        <item m="1" x="60"/>
        <item m="1" x="96"/>
        <item m="1" x="120"/>
        <item m="1" x="144"/>
        <item m="1" x="168"/>
        <item m="1" x="48"/>
        <item m="1" x="72"/>
        <item m="1" x="85"/>
        <item m="1" x="109"/>
        <item m="1" x="133"/>
        <item m="1" x="157"/>
        <item m="1" x="37"/>
        <item m="1" x="61"/>
        <item m="1" x="97"/>
        <item m="1" x="121"/>
        <item m="1" x="145"/>
        <item m="1" x="169"/>
        <item m="1" x="49"/>
        <item m="1" x="73"/>
        <item m="1" x="86"/>
        <item m="1" x="110"/>
        <item m="1" x="134"/>
        <item m="1" x="158"/>
        <item m="1" x="38"/>
        <item m="1" x="62"/>
        <item m="1" x="98"/>
        <item m="1" x="122"/>
        <item m="1" x="146"/>
        <item m="1" x="170"/>
        <item m="1" x="50"/>
        <item m="1" x="74"/>
        <item m="1" x="87"/>
        <item m="1" x="111"/>
        <item m="1" x="135"/>
        <item m="1" x="159"/>
        <item m="1" x="39"/>
        <item m="1" x="63"/>
        <item m="1" x="99"/>
        <item m="1" x="123"/>
        <item m="1" x="147"/>
        <item m="1" x="171"/>
        <item m="1" x="51"/>
        <item m="1" x="75"/>
        <item m="1" x="88"/>
        <item m="1" x="112"/>
        <item m="1" x="136"/>
        <item m="1" x="160"/>
        <item m="1" x="40"/>
        <item m="1" x="64"/>
        <item m="1" x="100"/>
        <item m="1" x="124"/>
        <item m="1" x="148"/>
        <item m="1" x="172"/>
        <item m="1" x="52"/>
        <item m="1" x="76"/>
        <item m="1" x="89"/>
        <item m="1" x="113"/>
        <item m="1" x="137"/>
        <item m="1" x="161"/>
        <item m="1" x="41"/>
        <item m="1" x="65"/>
        <item m="1" x="101"/>
        <item m="1" x="125"/>
        <item m="1" x="149"/>
        <item m="1" x="173"/>
        <item m="1" x="53"/>
        <item m="1" x="77"/>
        <item m="1" x="90"/>
        <item m="1" x="114"/>
        <item m="1" x="138"/>
        <item m="1" x="162"/>
        <item m="1" x="42"/>
        <item m="1" x="66"/>
        <item m="1" x="102"/>
        <item m="1" x="126"/>
        <item m="1" x="150"/>
        <item m="1" x="174"/>
        <item m="1" x="54"/>
        <item m="1" x="78"/>
        <item m="1" x="91"/>
        <item m="1" x="115"/>
        <item m="1" x="139"/>
        <item m="1" x="163"/>
        <item m="1" x="43"/>
        <item m="1" x="67"/>
        <item m="1" x="103"/>
        <item m="1" x="127"/>
        <item m="1" x="151"/>
        <item m="1" x="175"/>
        <item m="1" x="55"/>
        <item m="1" x="79"/>
        <item m="1" x="93"/>
        <item m="1" x="117"/>
        <item m="1" x="141"/>
        <item m="1" x="165"/>
        <item m="1" x="45"/>
        <item m="1" x="69"/>
        <item m="1" x="104"/>
        <item m="1" x="128"/>
        <item m="1" x="152"/>
        <item m="1" x="176"/>
        <item m="1" x="56"/>
        <item m="1" x="80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workbookViewId="0">
      <selection activeCell="C25" sqref="C25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65</v>
      </c>
    </row>
    <row r="3" spans="1:2" x14ac:dyDescent="0.25">
      <c r="A3" s="2">
        <v>1</v>
      </c>
      <c r="B3" s="3" t="s">
        <v>67</v>
      </c>
    </row>
    <row r="4" spans="1:2" ht="13" x14ac:dyDescent="0.3">
      <c r="A4" s="2">
        <v>2</v>
      </c>
      <c r="B4" s="3" t="s">
        <v>66</v>
      </c>
    </row>
    <row r="5" spans="1:2" ht="13" x14ac:dyDescent="0.3">
      <c r="A5" s="2">
        <v>3</v>
      </c>
      <c r="B5" s="3" t="s">
        <v>68</v>
      </c>
    </row>
    <row r="6" spans="1:2" ht="13" x14ac:dyDescent="0.3">
      <c r="A6" s="2">
        <v>4</v>
      </c>
      <c r="B6" s="4" t="s">
        <v>82</v>
      </c>
    </row>
    <row r="7" spans="1:2" x14ac:dyDescent="0.25">
      <c r="A7" s="2">
        <v>5</v>
      </c>
      <c r="B7" s="3" t="s">
        <v>69</v>
      </c>
    </row>
    <row r="8" spans="1:2" x14ac:dyDescent="0.25">
      <c r="A8" s="2">
        <v>6</v>
      </c>
      <c r="B8" s="3" t="s">
        <v>70</v>
      </c>
    </row>
    <row r="9" spans="1:2" x14ac:dyDescent="0.25">
      <c r="A9" s="2">
        <v>7</v>
      </c>
      <c r="B9" s="5" t="s">
        <v>71</v>
      </c>
    </row>
    <row r="10" spans="1:2" ht="13" x14ac:dyDescent="0.3">
      <c r="A10" s="2">
        <v>8</v>
      </c>
      <c r="B10" s="3" t="s">
        <v>74</v>
      </c>
    </row>
    <row r="11" spans="1:2" x14ac:dyDescent="0.25">
      <c r="A11" s="2"/>
      <c r="B11" s="3" t="s">
        <v>75</v>
      </c>
    </row>
    <row r="12" spans="1:2" x14ac:dyDescent="0.25">
      <c r="A12" s="2"/>
      <c r="B12" s="5" t="s">
        <v>76</v>
      </c>
    </row>
    <row r="13" spans="1:2" x14ac:dyDescent="0.25">
      <c r="A13" s="2"/>
      <c r="B13" s="5" t="s">
        <v>77</v>
      </c>
    </row>
    <row r="14" spans="1:2" x14ac:dyDescent="0.25">
      <c r="A14" s="2">
        <v>9</v>
      </c>
      <c r="B14" s="3" t="s">
        <v>78</v>
      </c>
    </row>
    <row r="15" spans="1:2" x14ac:dyDescent="0.25">
      <c r="A15" s="2">
        <v>10</v>
      </c>
      <c r="B15" s="3" t="s">
        <v>80</v>
      </c>
    </row>
    <row r="16" spans="1:2" x14ac:dyDescent="0.25">
      <c r="A16" s="2">
        <v>11</v>
      </c>
      <c r="B16" s="3" t="s">
        <v>81</v>
      </c>
    </row>
    <row r="17" spans="1:1" x14ac:dyDescent="0.25">
      <c r="A17" s="2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AA57A-EE43-448F-BDFB-C3C880068082}">
  <dimension ref="A1:E22"/>
  <sheetViews>
    <sheetView tabSelected="1" workbookViewId="0">
      <selection activeCell="D3" sqref="D3"/>
    </sheetView>
  </sheetViews>
  <sheetFormatPr defaultColWidth="8.7265625" defaultRowHeight="12.5" x14ac:dyDescent="0.25"/>
  <cols>
    <col min="1" max="1" width="51.54296875" style="215" bestFit="1" customWidth="1"/>
    <col min="2" max="2" width="6" style="215" bestFit="1" customWidth="1"/>
    <col min="3" max="3" width="14.1796875" style="215" bestFit="1" customWidth="1"/>
    <col min="4" max="4" width="12.7265625" style="215" bestFit="1" customWidth="1"/>
    <col min="5" max="5" width="10.54296875" style="215" bestFit="1" customWidth="1"/>
    <col min="6" max="16384" width="8.7265625" style="215"/>
  </cols>
  <sheetData>
    <row r="1" spans="1:5" x14ac:dyDescent="0.25">
      <c r="C1" s="215" t="s">
        <v>100</v>
      </c>
      <c r="D1" s="215" t="s">
        <v>101</v>
      </c>
      <c r="E1" s="215" t="s">
        <v>99</v>
      </c>
    </row>
    <row r="2" spans="1:5" ht="37.5" x14ac:dyDescent="0.25">
      <c r="A2" s="215" t="s">
        <v>102</v>
      </c>
      <c r="B2" s="234" t="s">
        <v>103</v>
      </c>
      <c r="C2" s="216">
        <v>0</v>
      </c>
      <c r="D2" s="216">
        <v>0</v>
      </c>
      <c r="E2" s="217">
        <f>C2+D2</f>
        <v>0</v>
      </c>
    </row>
    <row r="3" spans="1:5" ht="13" thickBot="1" x14ac:dyDescent="0.3"/>
    <row r="4" spans="1:5" x14ac:dyDescent="0.25">
      <c r="A4" s="218" t="s">
        <v>14</v>
      </c>
      <c r="B4" s="219">
        <f>0.074+0.018</f>
        <v>9.1999999999999998E-2</v>
      </c>
      <c r="C4" s="217">
        <f>$C$2*B4</f>
        <v>0</v>
      </c>
      <c r="D4" s="217">
        <f>$D$2*B4</f>
        <v>0</v>
      </c>
      <c r="E4" s="217">
        <f t="shared" ref="E4:E20" si="0">C4+D4</f>
        <v>0</v>
      </c>
    </row>
    <row r="5" spans="1:5" x14ac:dyDescent="0.25">
      <c r="A5" s="220" t="s">
        <v>87</v>
      </c>
      <c r="B5" s="221">
        <v>5.0000000000000001E-3</v>
      </c>
      <c r="C5" s="217">
        <f t="shared" ref="C5:C16" si="1">$C$2*B5</f>
        <v>0</v>
      </c>
      <c r="D5" s="217">
        <f t="shared" ref="D5:D16" si="2">$D$2*B5</f>
        <v>0</v>
      </c>
      <c r="E5" s="217">
        <f t="shared" si="0"/>
        <v>0</v>
      </c>
    </row>
    <row r="6" spans="1:5" x14ac:dyDescent="0.25">
      <c r="A6" s="220" t="s">
        <v>56</v>
      </c>
      <c r="B6" s="221">
        <v>1.4999999999999999E-2</v>
      </c>
      <c r="C6" s="217">
        <f t="shared" si="1"/>
        <v>0</v>
      </c>
      <c r="D6" s="217">
        <f t="shared" si="2"/>
        <v>0</v>
      </c>
      <c r="E6" s="217">
        <f t="shared" si="0"/>
        <v>0</v>
      </c>
    </row>
    <row r="7" spans="1:5" x14ac:dyDescent="0.25">
      <c r="A7" s="222" t="s">
        <v>17</v>
      </c>
      <c r="B7" s="219">
        <v>1.2999999999999999E-2</v>
      </c>
      <c r="C7" s="217">
        <f t="shared" si="1"/>
        <v>0</v>
      </c>
      <c r="D7" s="217">
        <f t="shared" si="2"/>
        <v>0</v>
      </c>
      <c r="E7" s="217">
        <f t="shared" si="0"/>
        <v>0</v>
      </c>
    </row>
    <row r="8" spans="1:5" x14ac:dyDescent="0.25">
      <c r="A8" s="220" t="s">
        <v>13</v>
      </c>
      <c r="B8" s="221">
        <v>0.10199999999999999</v>
      </c>
      <c r="C8" s="217">
        <f t="shared" si="1"/>
        <v>0</v>
      </c>
      <c r="D8" s="217">
        <f t="shared" si="2"/>
        <v>0</v>
      </c>
      <c r="E8" s="217">
        <f t="shared" si="0"/>
        <v>0</v>
      </c>
    </row>
    <row r="9" spans="1:5" x14ac:dyDescent="0.25">
      <c r="A9" s="222" t="s">
        <v>15</v>
      </c>
      <c r="B9" s="219">
        <v>1E-3</v>
      </c>
      <c r="C9" s="217">
        <f t="shared" si="1"/>
        <v>0</v>
      </c>
      <c r="D9" s="217">
        <f t="shared" si="2"/>
        <v>0</v>
      </c>
      <c r="E9" s="217">
        <f t="shared" si="0"/>
        <v>0</v>
      </c>
    </row>
    <row r="10" spans="1:5" x14ac:dyDescent="0.25">
      <c r="A10" s="222" t="s">
        <v>59</v>
      </c>
      <c r="B10" s="219">
        <v>5.0000000000000001E-3</v>
      </c>
      <c r="C10" s="217">
        <f t="shared" si="1"/>
        <v>0</v>
      </c>
      <c r="D10" s="217">
        <f t="shared" si="2"/>
        <v>0</v>
      </c>
      <c r="E10" s="217">
        <f t="shared" si="0"/>
        <v>0</v>
      </c>
    </row>
    <row r="11" spans="1:5" x14ac:dyDescent="0.25">
      <c r="A11" s="222" t="s">
        <v>16</v>
      </c>
      <c r="B11" s="219">
        <v>0</v>
      </c>
      <c r="C11" s="217">
        <f t="shared" si="1"/>
        <v>0</v>
      </c>
      <c r="D11" s="217">
        <f t="shared" si="2"/>
        <v>0</v>
      </c>
      <c r="E11" s="217">
        <f t="shared" si="0"/>
        <v>0</v>
      </c>
    </row>
    <row r="12" spans="1:5" x14ac:dyDescent="0.25">
      <c r="A12" s="220" t="s">
        <v>58</v>
      </c>
      <c r="B12" s="221">
        <v>3.0000000000000001E-3</v>
      </c>
      <c r="C12" s="217">
        <f t="shared" si="1"/>
        <v>0</v>
      </c>
      <c r="D12" s="217">
        <f t="shared" si="2"/>
        <v>0</v>
      </c>
      <c r="E12" s="217">
        <f t="shared" si="0"/>
        <v>0</v>
      </c>
    </row>
    <row r="13" spans="1:5" x14ac:dyDescent="0.25">
      <c r="A13" s="220" t="s">
        <v>19</v>
      </c>
      <c r="B13" s="221">
        <f>0.003+0.002</f>
        <v>5.0000000000000001E-3</v>
      </c>
      <c r="C13" s="217">
        <f t="shared" si="1"/>
        <v>0</v>
      </c>
      <c r="D13" s="217">
        <f t="shared" si="2"/>
        <v>0</v>
      </c>
      <c r="E13" s="217">
        <f t="shared" si="0"/>
        <v>0</v>
      </c>
    </row>
    <row r="14" spans="1:5" x14ac:dyDescent="0.25">
      <c r="A14" s="222" t="s">
        <v>8</v>
      </c>
      <c r="B14" s="219">
        <v>1.2999999999999999E-2</v>
      </c>
      <c r="C14" s="217">
        <f t="shared" si="1"/>
        <v>0</v>
      </c>
      <c r="D14" s="217">
        <f t="shared" si="2"/>
        <v>0</v>
      </c>
      <c r="E14" s="217">
        <f t="shared" si="0"/>
        <v>0</v>
      </c>
    </row>
    <row r="15" spans="1:5" x14ac:dyDescent="0.25">
      <c r="A15" s="222" t="s">
        <v>57</v>
      </c>
      <c r="B15" s="219">
        <v>1E-3</v>
      </c>
      <c r="C15" s="217">
        <f t="shared" si="1"/>
        <v>0</v>
      </c>
      <c r="D15" s="217">
        <f t="shared" si="2"/>
        <v>0</v>
      </c>
      <c r="E15" s="217">
        <f t="shared" si="0"/>
        <v>0</v>
      </c>
    </row>
    <row r="16" spans="1:5" x14ac:dyDescent="0.25">
      <c r="A16" s="223" t="s">
        <v>9</v>
      </c>
      <c r="B16" s="219">
        <v>5.0000000000000001E-3</v>
      </c>
      <c r="C16" s="217">
        <f t="shared" si="1"/>
        <v>0</v>
      </c>
      <c r="D16" s="217">
        <f t="shared" si="2"/>
        <v>0</v>
      </c>
      <c r="E16" s="217">
        <f t="shared" si="0"/>
        <v>0</v>
      </c>
    </row>
    <row r="17" spans="1:5" ht="23" x14ac:dyDescent="0.25">
      <c r="A17" s="224" t="s">
        <v>44</v>
      </c>
      <c r="B17" s="225"/>
      <c r="C17" s="226">
        <f>SUM(C4:C16)</f>
        <v>0</v>
      </c>
      <c r="D17" s="226">
        <f>SUM(D4:D16)</f>
        <v>0</v>
      </c>
      <c r="E17" s="226">
        <f>SUM(E4:E16)</f>
        <v>0</v>
      </c>
    </row>
    <row r="18" spans="1:5" x14ac:dyDescent="0.25">
      <c r="A18" s="227" t="s">
        <v>21</v>
      </c>
      <c r="B18" s="221">
        <v>0.37</v>
      </c>
      <c r="C18" s="217">
        <f>$C$2*B18</f>
        <v>0</v>
      </c>
      <c r="D18" s="217">
        <f>$D$2*B18</f>
        <v>0</v>
      </c>
      <c r="E18" s="217">
        <f t="shared" si="0"/>
        <v>0</v>
      </c>
    </row>
    <row r="19" spans="1:5" x14ac:dyDescent="0.25">
      <c r="A19" s="222" t="s">
        <v>22</v>
      </c>
      <c r="B19" s="219">
        <v>0.35399999999999998</v>
      </c>
      <c r="C19" s="217">
        <f t="shared" ref="C19:C20" si="3">$C$2*B19</f>
        <v>0</v>
      </c>
      <c r="D19" s="217">
        <f t="shared" ref="D19:D20" si="4">$D$2*B19</f>
        <v>0</v>
      </c>
      <c r="E19" s="217">
        <f t="shared" si="0"/>
        <v>0</v>
      </c>
    </row>
    <row r="20" spans="1:5" x14ac:dyDescent="0.25">
      <c r="A20" s="223" t="s">
        <v>83</v>
      </c>
      <c r="B20" s="219">
        <v>1.6E-2</v>
      </c>
      <c r="C20" s="217">
        <f t="shared" si="3"/>
        <v>0</v>
      </c>
      <c r="D20" s="217">
        <f t="shared" si="4"/>
        <v>0</v>
      </c>
      <c r="E20" s="217">
        <f t="shared" si="0"/>
        <v>0</v>
      </c>
    </row>
    <row r="21" spans="1:5" ht="23" x14ac:dyDescent="0.25">
      <c r="A21" s="224" t="s">
        <v>53</v>
      </c>
      <c r="B21" s="228"/>
      <c r="C21" s="229">
        <f>SUM(C18:C20)</f>
        <v>0</v>
      </c>
      <c r="D21" s="229">
        <f>SUM(D18:D20)</f>
        <v>0</v>
      </c>
      <c r="E21" s="229">
        <f>SUM(E18:E20)</f>
        <v>0</v>
      </c>
    </row>
    <row r="22" spans="1:5" ht="13" thickBot="1" x14ac:dyDescent="0.3">
      <c r="A22" s="230" t="s">
        <v>45</v>
      </c>
      <c r="B22" s="231"/>
      <c r="C22" s="217">
        <f>C17+C21</f>
        <v>0</v>
      </c>
      <c r="D22" s="217">
        <f>D17+D21</f>
        <v>0</v>
      </c>
      <c r="E22" s="217">
        <f>E17+E21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5"/>
  <sheetViews>
    <sheetView zoomScale="85" zoomScaleNormal="85" zoomScaleSheetLayoutView="100" workbookViewId="0">
      <selection activeCell="H21" sqref="H21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4" width="14" style="1" customWidth="1"/>
    <col min="15" max="15" width="15" style="1" customWidth="1"/>
    <col min="16" max="108" width="31.7265625" style="1" customWidth="1"/>
    <col min="109" max="109" width="11.453125" style="1" customWidth="1"/>
    <col min="110" max="16384" width="33.26953125" style="1"/>
  </cols>
  <sheetData>
    <row r="1" spans="2:17" ht="13" x14ac:dyDescent="0.3">
      <c r="C1" s="259" t="str">
        <f>+Transactions!B1</f>
        <v>AEPTCo Formula Rate -- FERC Docket ER18-194</v>
      </c>
      <c r="D1" s="259"/>
      <c r="E1" s="259"/>
      <c r="F1" s="259"/>
      <c r="G1" s="259"/>
      <c r="H1" s="259"/>
      <c r="I1" s="259"/>
      <c r="J1" s="6">
        <v>2024</v>
      </c>
    </row>
    <row r="2" spans="2:17" ht="13" x14ac:dyDescent="0.3">
      <c r="C2" s="259" t="s">
        <v>36</v>
      </c>
      <c r="D2" s="259"/>
      <c r="E2" s="259"/>
      <c r="F2" s="259"/>
      <c r="G2" s="259"/>
      <c r="H2" s="259"/>
      <c r="I2" s="259"/>
    </row>
    <row r="3" spans="2:17" ht="13" x14ac:dyDescent="0.3">
      <c r="C3" s="259" t="str">
        <f>"for period 01/01/"&amp;F8&amp;" - 12/31/"&amp;F8</f>
        <v>for period 01/01/2024 - 12/31/2024</v>
      </c>
      <c r="D3" s="259"/>
      <c r="E3" s="259"/>
      <c r="F3" s="259"/>
      <c r="G3" s="259"/>
      <c r="H3" s="259"/>
      <c r="I3" s="259"/>
    </row>
    <row r="4" spans="2:17" ht="13" x14ac:dyDescent="0.3">
      <c r="C4" s="259" t="s">
        <v>85</v>
      </c>
      <c r="D4" s="259"/>
      <c r="E4" s="259"/>
      <c r="F4" s="259"/>
      <c r="G4" s="259"/>
      <c r="H4" s="259"/>
      <c r="I4" s="259"/>
    </row>
    <row r="5" spans="2:17" x14ac:dyDescent="0.25">
      <c r="C5" s="7" t="str">
        <f>"Prepared:  May 24_, "&amp;J1&amp;""</f>
        <v>Prepared:  May 24_, 2024</v>
      </c>
      <c r="D5" s="8"/>
    </row>
    <row r="6" spans="2:17" x14ac:dyDescent="0.25">
      <c r="C6" s="9"/>
    </row>
    <row r="7" spans="2:17" ht="13" x14ac:dyDescent="0.3">
      <c r="C7" s="10"/>
    </row>
    <row r="8" spans="2:17" ht="27.75" customHeight="1" thickBot="1" x14ac:dyDescent="0.3">
      <c r="F8" s="11">
        <v>2024</v>
      </c>
    </row>
    <row r="9" spans="2:17" ht="20.25" customHeight="1" x14ac:dyDescent="0.3">
      <c r="E9" s="12" t="s">
        <v>97</v>
      </c>
      <c r="F9" s="13"/>
      <c r="G9" s="14"/>
      <c r="H9" s="15"/>
      <c r="J9" s="2"/>
    </row>
    <row r="10" spans="2:17" ht="42" customHeight="1" thickBot="1" x14ac:dyDescent="0.3">
      <c r="B10" s="16"/>
      <c r="E10" s="17" t="str">
        <f>"(per "&amp;$F8&amp;" Projections "&amp;$F8&amp;")"</f>
        <v>(per 2024 Projections 2024)</v>
      </c>
      <c r="F10" s="18" t="str">
        <f>"(per "&amp;F8+1&amp;" Update of May "&amp;F8+1&amp;")"</f>
        <v>(per 2025 Update of May 2025)</v>
      </c>
      <c r="G10" s="19"/>
      <c r="H10" s="20"/>
    </row>
    <row r="11" spans="2:17" ht="21.75" customHeight="1" x14ac:dyDescent="0.25">
      <c r="B11" s="21"/>
      <c r="C11" s="22" t="s">
        <v>39</v>
      </c>
      <c r="D11" s="23" t="s">
        <v>37</v>
      </c>
      <c r="E11" s="24">
        <f>Transactions!K2</f>
        <v>172829715.360668</v>
      </c>
      <c r="F11" s="25"/>
      <c r="G11" s="26"/>
      <c r="H11" s="27"/>
    </row>
    <row r="12" spans="2:17" ht="21.75" customHeight="1" x14ac:dyDescent="0.25">
      <c r="B12" s="21"/>
      <c r="C12" s="28"/>
      <c r="D12" s="29" t="s">
        <v>43</v>
      </c>
      <c r="E12" s="30"/>
      <c r="F12" s="31">
        <f>+Transactions!J2</f>
        <v>156168597.5835897</v>
      </c>
      <c r="G12" s="32"/>
      <c r="H12" s="33"/>
    </row>
    <row r="13" spans="2:17" ht="21.75" customHeight="1" x14ac:dyDescent="0.25">
      <c r="B13" s="34"/>
      <c r="C13" s="35" t="s">
        <v>40</v>
      </c>
      <c r="D13" s="36" t="s">
        <v>38</v>
      </c>
      <c r="E13" s="37">
        <f>Transactions!K3</f>
        <v>1702.5353974612706</v>
      </c>
      <c r="F13" s="33"/>
      <c r="G13" s="38"/>
      <c r="H13" s="39"/>
    </row>
    <row r="14" spans="2:17" ht="21.75" customHeight="1" thickBot="1" x14ac:dyDescent="0.3">
      <c r="B14" s="16"/>
      <c r="C14" s="40"/>
      <c r="D14" s="41" t="s">
        <v>42</v>
      </c>
      <c r="E14" s="42"/>
      <c r="F14" s="43">
        <f>+Transactions!J3</f>
        <v>1533.3045093675044</v>
      </c>
      <c r="G14" s="44"/>
      <c r="H14" s="33"/>
    </row>
    <row r="15" spans="2:17" x14ac:dyDescent="0.25">
      <c r="B15" s="21"/>
      <c r="E15" s="45"/>
    </row>
    <row r="16" spans="2:17" ht="13" x14ac:dyDescent="0.3">
      <c r="B16" s="34"/>
      <c r="C16" s="34"/>
      <c r="D16" s="46"/>
      <c r="E16" s="34"/>
      <c r="F16" s="47"/>
      <c r="G16" s="48"/>
      <c r="H16" s="48"/>
      <c r="J16" s="45"/>
      <c r="L16" s="50"/>
      <c r="M16" s="51"/>
      <c r="N16" s="51"/>
      <c r="O16" s="51"/>
      <c r="P16" s="51"/>
      <c r="Q16" s="51"/>
    </row>
    <row r="17" spans="2:17" ht="13" x14ac:dyDescent="0.3">
      <c r="C17" s="10"/>
      <c r="L17" s="52"/>
      <c r="M17" s="51"/>
      <c r="N17" s="51"/>
      <c r="O17" s="51"/>
      <c r="P17" s="51"/>
      <c r="Q17" s="51"/>
    </row>
    <row r="18" spans="2:17" x14ac:dyDescent="0.25">
      <c r="C18" s="50"/>
      <c r="D18" s="50"/>
      <c r="E18" s="50"/>
      <c r="F18" s="50"/>
      <c r="G18" s="50"/>
      <c r="H18" s="50"/>
      <c r="I18" s="50"/>
      <c r="L18" s="50"/>
      <c r="M18" s="51"/>
      <c r="N18" s="51"/>
      <c r="O18" s="51"/>
      <c r="P18" s="51"/>
      <c r="Q18" s="51"/>
    </row>
    <row r="19" spans="2:17" ht="21" customHeight="1" thickBot="1" x14ac:dyDescent="0.3">
      <c r="C19" s="53" t="s">
        <v>31</v>
      </c>
      <c r="D19" s="53" t="s">
        <v>32</v>
      </c>
      <c r="E19" s="54" t="s">
        <v>33</v>
      </c>
      <c r="F19" s="54" t="s">
        <v>34</v>
      </c>
      <c r="G19" s="53" t="s">
        <v>35</v>
      </c>
      <c r="H19" s="53" t="s">
        <v>96</v>
      </c>
      <c r="I19" s="54" t="s">
        <v>95</v>
      </c>
      <c r="L19" s="50"/>
      <c r="M19" s="51"/>
      <c r="N19" s="51"/>
      <c r="O19" s="51"/>
      <c r="P19" s="51"/>
      <c r="Q19" s="51"/>
    </row>
    <row r="20" spans="2:17" ht="53.25" customHeight="1" x14ac:dyDescent="0.25">
      <c r="C20" s="55" t="s">
        <v>52</v>
      </c>
      <c r="D20" s="56" t="str">
        <f>"Actual Charge
("&amp;F8&amp;" True-Up)"</f>
        <v>Actual Charge
(2024 True-Up)</v>
      </c>
      <c r="E20" s="57" t="str">
        <f>"Invoiced for
CY"&amp;F8&amp;" Transmission Service"</f>
        <v>Invoiced for
CY2024 Transmission Service</v>
      </c>
      <c r="F20" s="56" t="s">
        <v>41</v>
      </c>
      <c r="G20" s="58" t="s">
        <v>7</v>
      </c>
      <c r="H20" s="232" t="s">
        <v>104</v>
      </c>
      <c r="I20" s="59" t="s">
        <v>46</v>
      </c>
      <c r="L20" s="50"/>
      <c r="M20" s="51"/>
      <c r="N20" s="51"/>
      <c r="O20" s="51"/>
      <c r="P20" s="51"/>
      <c r="Q20" s="51"/>
    </row>
    <row r="21" spans="2:17" x14ac:dyDescent="0.25">
      <c r="B21" s="60"/>
      <c r="C21" s="61" t="s">
        <v>14</v>
      </c>
      <c r="D21" s="62">
        <f>GETPIVOTDATA("Sum of "&amp;T(Transactions!$J$19),Pivot!$A$3,"Customer",C21)</f>
        <v>14800988.42892452</v>
      </c>
      <c r="E21" s="62">
        <f>GETPIVOTDATA("Sum of "&amp;T(Transactions!$K$19),Pivot!$A$3,"Customer",C21)</f>
        <v>16434574.191693645</v>
      </c>
      <c r="F21" s="62">
        <f>D21-E21</f>
        <v>-1633585.7627691254</v>
      </c>
      <c r="G21" s="51">
        <f>+GETPIVOTDATA("Sum of "&amp;T(Transactions!$M$19),Pivot!$A$3,"Customer","AECC")</f>
        <v>-130259.73086196497</v>
      </c>
      <c r="H21" s="51">
        <f>-'20XX NOLC Refund Detail'!C4</f>
        <v>0</v>
      </c>
      <c r="I21" s="63">
        <f>F21+G21+H21</f>
        <v>-1763845.4936310903</v>
      </c>
      <c r="J21" s="60"/>
      <c r="L21" s="50"/>
      <c r="M21" s="51"/>
      <c r="N21" s="51"/>
      <c r="O21" s="51"/>
      <c r="P21" s="51"/>
      <c r="Q21" s="51"/>
    </row>
    <row r="22" spans="2:17" x14ac:dyDescent="0.25">
      <c r="B22" s="60"/>
      <c r="C22" s="64" t="s">
        <v>87</v>
      </c>
      <c r="D22" s="62">
        <f>GETPIVOTDATA("Sum of "&amp;T(Transactions!$J$19),Pivot!$A$3,"Customer",C22)</f>
        <v>757452.42762754718</v>
      </c>
      <c r="E22" s="62">
        <f>GETPIVOTDATA("Sum of "&amp;T(Transactions!$K$19),Pivot!$A$3,"Customer",C22)</f>
        <v>841052.48634586774</v>
      </c>
      <c r="F22" s="62">
        <f>D22-E22</f>
        <v>-83600.058718320564</v>
      </c>
      <c r="G22" s="51">
        <f>+GETPIVOTDATA("Sum of "&amp;T(Transactions!$M$19),Pivot!$A$3,"Customer","AECI")</f>
        <v>-6666.1459697307264</v>
      </c>
      <c r="H22" s="51">
        <f>-'20XX NOLC Refund Detail'!C5</f>
        <v>0</v>
      </c>
      <c r="I22" s="63">
        <f t="shared" ref="I22:I33" si="0">F22+G22+H22</f>
        <v>-90266.204688051293</v>
      </c>
      <c r="J22" s="60"/>
      <c r="L22" s="50"/>
      <c r="M22" s="51"/>
      <c r="N22" s="51"/>
      <c r="O22" s="51"/>
      <c r="P22" s="51"/>
      <c r="Q22" s="51"/>
    </row>
    <row r="23" spans="2:17" x14ac:dyDescent="0.25">
      <c r="B23" s="60"/>
      <c r="C23" s="64" t="s">
        <v>56</v>
      </c>
      <c r="D23" s="62">
        <f>GETPIVOTDATA("Sum of "&amp;T(Transactions!$J$19),Pivot!$A$3,"Customer",C23)</f>
        <v>2388888.425594572</v>
      </c>
      <c r="E23" s="62">
        <f>GETPIVOTDATA("Sum of "&amp;T(Transactions!$K$19),Pivot!$A$3,"Customer",C23)</f>
        <v>2652550.1492446596</v>
      </c>
      <c r="F23" s="62">
        <f t="shared" ref="F23:F35" si="1">D23-E23</f>
        <v>-263661.7236500876</v>
      </c>
      <c r="G23" s="51">
        <f>+GETPIVOTDATA("Sum of "&amp;T(Transactions!$M$19),Pivot!$A$3,"Customer","Bentonville, AR")</f>
        <v>-21023.998827612289</v>
      </c>
      <c r="H23" s="51">
        <f>-'20XX NOLC Refund Detail'!C6</f>
        <v>0</v>
      </c>
      <c r="I23" s="63">
        <f t="shared" si="0"/>
        <v>-284685.72247769986</v>
      </c>
      <c r="J23" s="60"/>
      <c r="L23" s="50"/>
      <c r="M23" s="51"/>
      <c r="N23" s="51"/>
      <c r="O23" s="51"/>
      <c r="P23" s="51"/>
      <c r="Q23" s="51"/>
    </row>
    <row r="24" spans="2:17" x14ac:dyDescent="0.25">
      <c r="B24" s="60"/>
      <c r="C24" s="61" t="s">
        <v>17</v>
      </c>
      <c r="D24" s="62">
        <f>GETPIVOTDATA("Sum of "&amp;T(Transactions!$J$19),Pivot!$A$3,"Customer",C24)</f>
        <v>1961096.4674810383</v>
      </c>
      <c r="E24" s="62">
        <f>GETPIVOTDATA("Sum of "&amp;T(Transactions!$K$19),Pivot!$A$3,"Customer",C24)</f>
        <v>2177542.7733529652</v>
      </c>
      <c r="F24" s="62">
        <f t="shared" si="1"/>
        <v>-216446.30587192695</v>
      </c>
      <c r="G24" s="51">
        <f>+GETPIVOTDATA("Sum of "&amp;T(Transactions!$M$19),Pivot!$A$3,"Customer","Coffeyville, KS")</f>
        <v>-17259.110719201617</v>
      </c>
      <c r="H24" s="51">
        <f>-'20XX NOLC Refund Detail'!C7</f>
        <v>0</v>
      </c>
      <c r="I24" s="63">
        <f t="shared" si="0"/>
        <v>-233705.41659112857</v>
      </c>
      <c r="J24" s="60"/>
      <c r="L24" s="50"/>
      <c r="M24" s="51"/>
      <c r="N24" s="51"/>
      <c r="O24" s="51"/>
      <c r="P24" s="51"/>
      <c r="Q24" s="51"/>
    </row>
    <row r="25" spans="2:17" x14ac:dyDescent="0.25">
      <c r="B25" s="60"/>
      <c r="C25" s="64" t="s">
        <v>13</v>
      </c>
      <c r="D25" s="62">
        <f>GETPIVOTDATA("Sum of "&amp;T(Transactions!$J$19),Pivot!$A$3,"Customer",C25)</f>
        <v>15544641.115967758</v>
      </c>
      <c r="E25" s="62">
        <f>GETPIVOTDATA("Sum of "&amp;T(Transactions!$K$19),Pivot!$A$3,"Customer",C25)</f>
        <v>17260303.859462358</v>
      </c>
      <c r="F25" s="62">
        <f t="shared" si="1"/>
        <v>-1715662.7434946001</v>
      </c>
      <c r="G25" s="51">
        <f>+GETPIVOTDATA("Sum of "&amp;T(Transactions!$M$19),Pivot!$A$3,"Customer","ETEC")</f>
        <v>-136804.42882819858</v>
      </c>
      <c r="H25" s="51">
        <f>-'20XX NOLC Refund Detail'!C8</f>
        <v>0</v>
      </c>
      <c r="I25" s="63">
        <f t="shared" si="0"/>
        <v>-1852467.1723227985</v>
      </c>
      <c r="J25" s="60"/>
      <c r="L25" s="52"/>
      <c r="M25" s="51"/>
      <c r="N25" s="51"/>
      <c r="O25" s="51"/>
      <c r="P25" s="51"/>
      <c r="Q25" s="51"/>
    </row>
    <row r="26" spans="2:17" x14ac:dyDescent="0.25">
      <c r="B26" s="60"/>
      <c r="C26" s="61" t="s">
        <v>15</v>
      </c>
      <c r="D26" s="62">
        <f>GETPIVOTDATA("Sum of "&amp;T(Transactions!$J$19),Pivot!$A$3,"Customer",C26)</f>
        <v>171730.10504916045</v>
      </c>
      <c r="E26" s="62">
        <f>GETPIVOTDATA("Sum of "&amp;T(Transactions!$K$19),Pivot!$A$3,"Customer",C26)</f>
        <v>190683.96451566232</v>
      </c>
      <c r="F26" s="62">
        <f t="shared" si="1"/>
        <v>-18953.859466501861</v>
      </c>
      <c r="G26" s="51">
        <f>+GETPIVOTDATA("Sum of "&amp;T(Transactions!$M$19),Pivot!$A$3,"Customer","Greenbelt")</f>
        <v>-1511.3529324085857</v>
      </c>
      <c r="H26" s="51">
        <f>-'20XX NOLC Refund Detail'!C9</f>
        <v>0</v>
      </c>
      <c r="I26" s="63">
        <f t="shared" si="0"/>
        <v>-20465.212398910448</v>
      </c>
      <c r="J26" s="60"/>
      <c r="K26" s="65"/>
      <c r="L26" s="65"/>
      <c r="M26" s="65"/>
      <c r="N26" s="65"/>
      <c r="O26" s="51"/>
      <c r="P26" s="51"/>
      <c r="Q26" s="51"/>
    </row>
    <row r="27" spans="2:17" x14ac:dyDescent="0.25">
      <c r="B27" s="60"/>
      <c r="C27" s="61" t="s">
        <v>59</v>
      </c>
      <c r="D27" s="62">
        <f>GETPIVOTDATA("Sum of "&amp;T(Transactions!$J$19),Pivot!$A$3,"Customer",C27)</f>
        <v>708386.68332778686</v>
      </c>
      <c r="E27" s="62">
        <f>GETPIVOTDATA("Sum of "&amp;T(Transactions!$K$19),Pivot!$A$3,"Customer",C27)</f>
        <v>786571.35362710699</v>
      </c>
      <c r="F27" s="62">
        <f t="shared" si="1"/>
        <v>-78184.670299320132</v>
      </c>
      <c r="G27" s="51">
        <f>+GETPIVOTDATA("Sum of "&amp;T(Transactions!$M$19),Pivot!$A$3,"Customer","Hope, AR")</f>
        <v>-6234.3308461854167</v>
      </c>
      <c r="H27" s="51">
        <f>-'20XX NOLC Refund Detail'!C10</f>
        <v>0</v>
      </c>
      <c r="I27" s="63">
        <f t="shared" si="0"/>
        <v>-84419.00114550555</v>
      </c>
      <c r="J27" s="60"/>
      <c r="K27" s="65"/>
      <c r="L27" s="65"/>
      <c r="M27" s="65"/>
      <c r="N27" s="65"/>
      <c r="O27" s="51"/>
      <c r="P27" s="51"/>
      <c r="Q27" s="51"/>
    </row>
    <row r="28" spans="2:17" x14ac:dyDescent="0.25">
      <c r="B28" s="60"/>
      <c r="C28" s="61" t="s">
        <v>16</v>
      </c>
      <c r="D28" s="62">
        <f>GETPIVOTDATA("Sum of "&amp;T(Transactions!$J$19),Pivot!$A$3,"Customer",C28)</f>
        <v>68998.702921537697</v>
      </c>
      <c r="E28" s="62">
        <f>GETPIVOTDATA("Sum of "&amp;T(Transactions!$K$19),Pivot!$A$3,"Customer",C28)</f>
        <v>76614.092885757185</v>
      </c>
      <c r="F28" s="62">
        <f t="shared" si="1"/>
        <v>-7615.3899642194883</v>
      </c>
      <c r="G28" s="51">
        <f>+GETPIVOTDATA("Sum of "&amp;T(Transactions!$M$19),Pivot!$A$3,"Customer","Lighthouse")</f>
        <v>-607.2400174855926</v>
      </c>
      <c r="H28" s="51">
        <f>-'20XX NOLC Refund Detail'!C11</f>
        <v>0</v>
      </c>
      <c r="I28" s="63">
        <f t="shared" si="0"/>
        <v>-8222.6299817050804</v>
      </c>
      <c r="J28" s="60"/>
      <c r="L28" s="50"/>
      <c r="M28" s="51"/>
      <c r="N28" s="51"/>
      <c r="O28" s="51"/>
      <c r="P28" s="51"/>
      <c r="Q28" s="51"/>
    </row>
    <row r="29" spans="2:17" x14ac:dyDescent="0.25">
      <c r="B29" s="60"/>
      <c r="C29" s="64" t="s">
        <v>58</v>
      </c>
      <c r="D29" s="62">
        <f>GETPIVOTDATA("Sum of "&amp;T(Transactions!$J$19),Pivot!$A$3,"Customer",C29)</f>
        <v>499857.27005380648</v>
      </c>
      <c r="E29" s="62">
        <f>GETPIVOTDATA("Sum of "&amp;T(Transactions!$K$19),Pivot!$A$3,"Customer",C29)</f>
        <v>555026.5395723742</v>
      </c>
      <c r="F29" s="62">
        <f t="shared" si="1"/>
        <v>-55169.269518567715</v>
      </c>
      <c r="G29" s="51">
        <f>+GETPIVOTDATA("Sum of "&amp;T(Transactions!$M$19),Pivot!$A$3,"Customer","Minden, LA")</f>
        <v>-4399.1165711178473</v>
      </c>
      <c r="H29" s="51">
        <f>-'20XX NOLC Refund Detail'!C12</f>
        <v>0</v>
      </c>
      <c r="I29" s="63">
        <f t="shared" si="0"/>
        <v>-59568.386089685562</v>
      </c>
      <c r="J29" s="60"/>
      <c r="L29" s="50"/>
      <c r="M29" s="51"/>
      <c r="N29" s="51"/>
      <c r="O29" s="51"/>
      <c r="P29" s="51"/>
      <c r="Q29" s="51"/>
    </row>
    <row r="30" spans="2:17" x14ac:dyDescent="0.25">
      <c r="B30" s="60"/>
      <c r="C30" s="64" t="s">
        <v>19</v>
      </c>
      <c r="D30" s="62">
        <f>GETPIVOTDATA("Sum of "&amp;T(Transactions!$J$19),Pivot!$A$3,"Customer",C30)</f>
        <v>1208243.9533815931</v>
      </c>
      <c r="E30" s="62">
        <f>GETPIVOTDATA("Sum of "&amp;T(Transactions!$K$19),Pivot!$A$3,"Customer",C30)</f>
        <v>1341597.8931994813</v>
      </c>
      <c r="F30" s="62">
        <f t="shared" si="1"/>
        <v>-133353.9398178882</v>
      </c>
      <c r="G30" s="51">
        <f>+GETPIVOTDATA("Sum of "&amp;T(Transactions!$M$19),Pivot!$A$3,"Customer","OG&amp;E")</f>
        <v>-10633.447417303263</v>
      </c>
      <c r="H30" s="51">
        <f>-'20XX NOLC Refund Detail'!C13</f>
        <v>0</v>
      </c>
      <c r="I30" s="63">
        <f t="shared" si="0"/>
        <v>-143987.38723519145</v>
      </c>
      <c r="J30" s="60"/>
    </row>
    <row r="31" spans="2:17" x14ac:dyDescent="0.25">
      <c r="B31" s="60"/>
      <c r="C31" s="61" t="s">
        <v>8</v>
      </c>
      <c r="D31" s="62">
        <f>GETPIVOTDATA("Sum of "&amp;T(Transactions!$J$19),Pivot!$A$3,"Customer",C31)</f>
        <v>1959563.1629716705</v>
      </c>
      <c r="E31" s="62">
        <f>GETPIVOTDATA("Sum of "&amp;T(Transactions!$K$19),Pivot!$A$3,"Customer",C31)</f>
        <v>2175840.2379555036</v>
      </c>
      <c r="F31" s="62">
        <f t="shared" si="1"/>
        <v>-216277.07498383312</v>
      </c>
      <c r="G31" s="51">
        <f>+GETPIVOTDATA("Sum of "&amp;T(Transactions!$M$19),Pivot!$A$3,"Customer","OMPA")</f>
        <v>-17245.616496590825</v>
      </c>
      <c r="H31" s="51">
        <f>-'20XX NOLC Refund Detail'!C14</f>
        <v>0</v>
      </c>
      <c r="I31" s="63">
        <f t="shared" si="0"/>
        <v>-233522.69148042396</v>
      </c>
      <c r="J31" s="60"/>
    </row>
    <row r="32" spans="2:17" x14ac:dyDescent="0.25">
      <c r="B32" s="60"/>
      <c r="C32" s="61" t="s">
        <v>57</v>
      </c>
      <c r="D32" s="62">
        <f>GETPIVOTDATA("Sum of "&amp;T(Transactions!$J$19),Pivot!$A$3,"Customer",C32)</f>
        <v>182463.23661473306</v>
      </c>
      <c r="E32" s="62">
        <f>GETPIVOTDATA("Sum of "&amp;T(Transactions!$K$19),Pivot!$A$3,"Customer",C32)</f>
        <v>202601.71229789127</v>
      </c>
      <c r="F32" s="62">
        <f t="shared" si="1"/>
        <v>-20138.475683158205</v>
      </c>
      <c r="G32" s="51">
        <f>+GETPIVOTDATA("Sum of "&amp;T(Transactions!$M$19),Pivot!$A$3,"Customer","Prescott, AR")</f>
        <v>-1605.8124906841222</v>
      </c>
      <c r="H32" s="51">
        <f>-'20XX NOLC Refund Detail'!C15</f>
        <v>0</v>
      </c>
      <c r="I32" s="63">
        <f t="shared" si="0"/>
        <v>-21744.288173842328</v>
      </c>
      <c r="J32" s="60"/>
    </row>
    <row r="33" spans="2:11" x14ac:dyDescent="0.25">
      <c r="B33" s="60"/>
      <c r="C33" s="66" t="s">
        <v>9</v>
      </c>
      <c r="D33" s="62">
        <f>GETPIVOTDATA("Sum of "&amp;T(Transactions!$J$19),Pivot!$A$3,"Customer",C33)</f>
        <v>985914.79952330526</v>
      </c>
      <c r="E33" s="62">
        <f>GETPIVOTDATA("Sum of "&amp;T(Transactions!$K$19),Pivot!$A$3,"Customer",C33)</f>
        <v>1094730.2605675969</v>
      </c>
      <c r="F33" s="62">
        <f t="shared" si="1"/>
        <v>-108815.46104429162</v>
      </c>
      <c r="G33" s="51">
        <f>+GETPIVOTDATA("Sum of "&amp;T(Transactions!$M$19),Pivot!$A$3,"Customer","WFEC")</f>
        <v>-8676.7851387385763</v>
      </c>
      <c r="H33" s="51">
        <f>-'20XX NOLC Refund Detail'!C16</f>
        <v>0</v>
      </c>
      <c r="I33" s="63">
        <f t="shared" si="0"/>
        <v>-117492.24618303019</v>
      </c>
      <c r="J33" s="60"/>
    </row>
    <row r="34" spans="2:11" ht="23" x14ac:dyDescent="0.25">
      <c r="C34" s="67" t="s">
        <v>44</v>
      </c>
      <c r="D34" s="68">
        <f t="shared" ref="D34:I34" si="2">SUM(D21:D33)</f>
        <v>41238224.779439032</v>
      </c>
      <c r="E34" s="68">
        <f t="shared" si="2"/>
        <v>45789689.514720872</v>
      </c>
      <c r="F34" s="68">
        <f t="shared" si="2"/>
        <v>-4551464.7352818409</v>
      </c>
      <c r="G34" s="69">
        <f t="shared" si="2"/>
        <v>-362927.11711722234</v>
      </c>
      <c r="H34" s="69">
        <f t="shared" si="2"/>
        <v>0</v>
      </c>
      <c r="I34" s="70">
        <f t="shared" si="2"/>
        <v>-4914391.8523990633</v>
      </c>
    </row>
    <row r="35" spans="2:11" x14ac:dyDescent="0.25">
      <c r="C35" s="71" t="s">
        <v>21</v>
      </c>
      <c r="D35" s="62">
        <f>GETPIVOTDATA("Sum of "&amp;T(Transactions!$J$19),Pivot!$A$3,"Customer",C35)</f>
        <v>58702563.14113491</v>
      </c>
      <c r="E35" s="62">
        <f>GETPIVOTDATA("Sum of "&amp;T(Transactions!$K$19),Pivot!$A$3,"Customer",C35)</f>
        <v>65181567.691804752</v>
      </c>
      <c r="F35" s="62">
        <f t="shared" si="1"/>
        <v>-6479004.5506698415</v>
      </c>
      <c r="G35" s="51">
        <f>+GETPIVOTDATA("Sum of "&amp;T(Transactions!$M$19),Pivot!$A$3,"Customer","PSO")</f>
        <v>-516626.31265413127</v>
      </c>
      <c r="H35" s="51">
        <f>-'20XX NOLC Refund Detail'!C18</f>
        <v>0</v>
      </c>
      <c r="I35" s="63">
        <f>F35+G35+H35</f>
        <v>-6995630.8633239726</v>
      </c>
    </row>
    <row r="36" spans="2:11" x14ac:dyDescent="0.25">
      <c r="C36" s="72" t="s">
        <v>22</v>
      </c>
      <c r="D36" s="62">
        <f>GETPIVOTDATA("Sum of "&amp;T(Transactions!$J$19),Pivot!$A$3,"Customer",C36)</f>
        <v>53791388.797630794</v>
      </c>
      <c r="E36" s="62">
        <f>GETPIVOTDATA("Sum of "&amp;T(Transactions!$K$19),Pivot!$A$3,"Customer",C36)</f>
        <v>59728346.813736297</v>
      </c>
      <c r="F36" s="62">
        <f>D36-E36</f>
        <v>-5936958.0161055028</v>
      </c>
      <c r="G36" s="51">
        <f>+GETPIVOTDATA("Sum of "&amp;T(Transactions!$M$19),Pivot!$A$3,"Customer","SWEPCO")</f>
        <v>-473404.31763176789</v>
      </c>
      <c r="H36" s="51">
        <f>-'20XX NOLC Refund Detail'!C19</f>
        <v>0</v>
      </c>
      <c r="I36" s="63">
        <f>F36+G36+H36</f>
        <v>-6410362.3337372709</v>
      </c>
    </row>
    <row r="37" spans="2:11" x14ac:dyDescent="0.25">
      <c r="C37" s="73" t="s">
        <v>83</v>
      </c>
      <c r="D37" s="62">
        <f>GETPIVOTDATA("Sum of "&amp;T(Transactions!$J$19),Pivot!$A$3,"Customer",C37)</f>
        <v>2436420.8653849638</v>
      </c>
      <c r="E37" s="62">
        <f>GETPIVOTDATA("Sum of "&amp;T(Transactions!$K$19),Pivot!$A$3,"Customer",C37)</f>
        <v>2705328.746565959</v>
      </c>
      <c r="F37" s="62">
        <f>D37-E37</f>
        <v>-268907.88118099514</v>
      </c>
      <c r="G37" s="51">
        <f>+GETPIVOTDATA("Sum of "&amp;T(Transactions!$M$19),Pivot!$A$3,"Customer","SWEPCO-Valley")</f>
        <v>-21442.319728546809</v>
      </c>
      <c r="H37" s="51">
        <f>-'20XX NOLC Refund Detail'!C20</f>
        <v>0</v>
      </c>
      <c r="I37" s="63">
        <f>F37+G37+H37</f>
        <v>-290350.20090954198</v>
      </c>
    </row>
    <row r="38" spans="2:11" ht="23" x14ac:dyDescent="0.25">
      <c r="C38" s="74" t="s">
        <v>53</v>
      </c>
      <c r="D38" s="75">
        <f t="shared" ref="D38:I38" si="3">SUM(D35:D37)</f>
        <v>114930372.80415067</v>
      </c>
      <c r="E38" s="75">
        <f t="shared" si="3"/>
        <v>127615243.25210701</v>
      </c>
      <c r="F38" s="75">
        <f t="shared" si="3"/>
        <v>-12684870.447956339</v>
      </c>
      <c r="G38" s="76">
        <f t="shared" si="3"/>
        <v>-1011472.9500144459</v>
      </c>
      <c r="H38" s="76">
        <f t="shared" si="3"/>
        <v>0</v>
      </c>
      <c r="I38" s="77">
        <f t="shared" si="3"/>
        <v>-13696343.397970786</v>
      </c>
    </row>
    <row r="39" spans="2:11" ht="23.25" customHeight="1" thickBot="1" x14ac:dyDescent="0.3">
      <c r="C39" s="78" t="s">
        <v>45</v>
      </c>
      <c r="D39" s="79">
        <f t="shared" ref="D39:I39" si="4">SUM(D34,D38)</f>
        <v>156168597.5835897</v>
      </c>
      <c r="E39" s="80">
        <f t="shared" si="4"/>
        <v>173404932.76682788</v>
      </c>
      <c r="F39" s="79">
        <f t="shared" si="4"/>
        <v>-17236335.183238178</v>
      </c>
      <c r="G39" s="80">
        <f t="shared" si="4"/>
        <v>-1374400.0671316683</v>
      </c>
      <c r="H39" s="80">
        <f t="shared" si="4"/>
        <v>0</v>
      </c>
      <c r="I39" s="81">
        <f t="shared" si="4"/>
        <v>-18610735.250369851</v>
      </c>
      <c r="K39" s="82"/>
    </row>
    <row r="40" spans="2:11" x14ac:dyDescent="0.25">
      <c r="E40" s="50"/>
      <c r="F40" s="50"/>
      <c r="G40" s="50"/>
      <c r="H40" s="50"/>
    </row>
    <row r="41" spans="2:11" x14ac:dyDescent="0.25">
      <c r="D41" s="199"/>
    </row>
    <row r="42" spans="2:11" x14ac:dyDescent="0.25">
      <c r="D42" s="200"/>
    </row>
    <row r="45" spans="2:11" x14ac:dyDescent="0.25">
      <c r="D45" s="201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zoomScale="85" workbookViewId="0">
      <pane xSplit="2" ySplit="4" topLeftCell="I94" activePane="bottomRight" state="frozen"/>
      <selection activeCell="H21" sqref="H21"/>
      <selection pane="topRight" activeCell="H21" sqref="H21"/>
      <selection pane="bottomLeft" activeCell="H21" sqref="H21"/>
      <selection pane="bottomRight" activeCell="H21" sqref="H21"/>
    </sheetView>
  </sheetViews>
  <sheetFormatPr defaultColWidth="8.7265625" defaultRowHeight="12.5" x14ac:dyDescent="0.25"/>
  <cols>
    <col min="1" max="1" width="19.1796875" style="1" customWidth="1"/>
    <col min="2" max="2" width="28.54296875" style="1" bestFit="1" customWidth="1"/>
    <col min="3" max="14" width="15.453125" style="1" bestFit="1" customWidth="1"/>
    <col min="15" max="15" width="12.54296875" style="1" bestFit="1" customWidth="1"/>
    <col min="16" max="16384" width="8.7265625" style="1"/>
  </cols>
  <sheetData>
    <row r="3" spans="1:15" x14ac:dyDescent="0.25">
      <c r="A3" s="235"/>
      <c r="B3" s="236"/>
      <c r="C3" s="237" t="s">
        <v>55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8"/>
    </row>
    <row r="4" spans="1:15" x14ac:dyDescent="0.25">
      <c r="A4" s="237" t="s">
        <v>0</v>
      </c>
      <c r="B4" s="237" t="s">
        <v>24</v>
      </c>
      <c r="C4" s="239">
        <v>45292</v>
      </c>
      <c r="D4" s="240">
        <v>45323</v>
      </c>
      <c r="E4" s="240">
        <v>45352</v>
      </c>
      <c r="F4" s="240">
        <v>45383</v>
      </c>
      <c r="G4" s="240">
        <v>45413</v>
      </c>
      <c r="H4" s="240">
        <v>45444</v>
      </c>
      <c r="I4" s="240">
        <v>45474</v>
      </c>
      <c r="J4" s="240">
        <v>45505</v>
      </c>
      <c r="K4" s="240">
        <v>45536</v>
      </c>
      <c r="L4" s="240">
        <v>45566</v>
      </c>
      <c r="M4" s="240">
        <v>45597</v>
      </c>
      <c r="N4" s="240">
        <v>45627</v>
      </c>
      <c r="O4" s="241" t="s">
        <v>18</v>
      </c>
    </row>
    <row r="5" spans="1:15" x14ac:dyDescent="0.25">
      <c r="A5" s="235" t="s">
        <v>14</v>
      </c>
      <c r="B5" s="235" t="s">
        <v>72</v>
      </c>
      <c r="C5" s="242">
        <v>1731100.7910759123</v>
      </c>
      <c r="D5" s="243">
        <v>1133112.0324225856</v>
      </c>
      <c r="E5" s="243">
        <v>984381.49501393782</v>
      </c>
      <c r="F5" s="243">
        <v>890849.91994251998</v>
      </c>
      <c r="G5" s="243">
        <v>1154578.2955537308</v>
      </c>
      <c r="H5" s="243">
        <v>1534837.813876872</v>
      </c>
      <c r="I5" s="243">
        <v>1473505.6335021716</v>
      </c>
      <c r="J5" s="243">
        <v>1559370.686026752</v>
      </c>
      <c r="K5" s="243">
        <v>1312508.6600185838</v>
      </c>
      <c r="L5" s="243">
        <v>1205177.3443628585</v>
      </c>
      <c r="M5" s="243">
        <v>709919.98783715453</v>
      </c>
      <c r="N5" s="243">
        <v>1111645.7692914407</v>
      </c>
      <c r="O5" s="244">
        <v>14800988.42892452</v>
      </c>
    </row>
    <row r="6" spans="1:15" ht="13" x14ac:dyDescent="0.3">
      <c r="A6" s="245"/>
      <c r="B6" s="246" t="s">
        <v>25</v>
      </c>
      <c r="C6" s="247">
        <v>-191061.67265786207</v>
      </c>
      <c r="D6" s="233">
        <v>-125061.62630129326</v>
      </c>
      <c r="E6" s="233">
        <v>-108646.23015619791</v>
      </c>
      <c r="F6" s="233">
        <v>-98323.14598247828</v>
      </c>
      <c r="G6" s="233">
        <v>-127430.85873460583</v>
      </c>
      <c r="H6" s="233">
        <v>-169400.11898185988</v>
      </c>
      <c r="I6" s="233">
        <v>-162630.88345810934</v>
      </c>
      <c r="J6" s="233">
        <v>-172107.8131913601</v>
      </c>
      <c r="K6" s="233">
        <v>-144861.64020826388</v>
      </c>
      <c r="L6" s="233">
        <v>-133015.47804170032</v>
      </c>
      <c r="M6" s="233">
        <v>-78353.901187413721</v>
      </c>
      <c r="N6" s="233">
        <v>-122692.39386798046</v>
      </c>
      <c r="O6" s="248">
        <v>-1633585.7627691252</v>
      </c>
    </row>
    <row r="7" spans="1:15" ht="13" x14ac:dyDescent="0.3">
      <c r="A7" s="245"/>
      <c r="B7" s="246" t="s">
        <v>26</v>
      </c>
      <c r="C7" s="247">
        <v>-15234.977327582974</v>
      </c>
      <c r="D7" s="233">
        <v>-9972.2305093745072</v>
      </c>
      <c r="E7" s="233">
        <v>-8663.2909161277857</v>
      </c>
      <c r="F7" s="233">
        <v>-7840.143336869538</v>
      </c>
      <c r="G7" s="233">
        <v>-10161.14962592558</v>
      </c>
      <c r="H7" s="233">
        <v>-13507.716833401733</v>
      </c>
      <c r="I7" s="233">
        <v>-12967.947928970096</v>
      </c>
      <c r="J7" s="233">
        <v>-13723.624395174389</v>
      </c>
      <c r="K7" s="233">
        <v>-11551.054554837046</v>
      </c>
      <c r="L7" s="233">
        <v>-10606.45897208168</v>
      </c>
      <c r="M7" s="233">
        <v>-6247.8250687962072</v>
      </c>
      <c r="N7" s="233">
        <v>-9783.3113928234343</v>
      </c>
      <c r="O7" s="248">
        <v>-130259.73086196497</v>
      </c>
    </row>
    <row r="8" spans="1:15" ht="13" x14ac:dyDescent="0.3">
      <c r="A8" s="245"/>
      <c r="B8" s="246" t="s">
        <v>27</v>
      </c>
      <c r="C8" s="247">
        <v>-206296.64998544505</v>
      </c>
      <c r="D8" s="233">
        <v>-135033.85681066776</v>
      </c>
      <c r="E8" s="233">
        <v>-117309.5210723257</v>
      </c>
      <c r="F8" s="233">
        <v>-106163.28931934782</v>
      </c>
      <c r="G8" s="233">
        <v>-137592.00836053141</v>
      </c>
      <c r="H8" s="233">
        <v>-182907.83581526161</v>
      </c>
      <c r="I8" s="233">
        <v>-175598.83138707944</v>
      </c>
      <c r="J8" s="233">
        <v>-185831.43758653448</v>
      </c>
      <c r="K8" s="233">
        <v>-156412.69476310094</v>
      </c>
      <c r="L8" s="233">
        <v>-143621.93701378201</v>
      </c>
      <c r="M8" s="233">
        <v>-84601.726256209935</v>
      </c>
      <c r="N8" s="233">
        <v>-132475.70526080389</v>
      </c>
      <c r="O8" s="248">
        <v>-1763845.49363109</v>
      </c>
    </row>
    <row r="9" spans="1:15" x14ac:dyDescent="0.25">
      <c r="A9" s="245"/>
      <c r="B9" s="246" t="s">
        <v>51</v>
      </c>
      <c r="C9" s="249">
        <v>1922162.4637337744</v>
      </c>
      <c r="D9" s="83">
        <v>1258173.6587238789</v>
      </c>
      <c r="E9" s="83">
        <v>1093027.7251701357</v>
      </c>
      <c r="F9" s="83">
        <v>989173.06592499826</v>
      </c>
      <c r="G9" s="83">
        <v>1282009.1542883366</v>
      </c>
      <c r="H9" s="83">
        <v>1704237.9328587318</v>
      </c>
      <c r="I9" s="83">
        <v>1636136.5169602809</v>
      </c>
      <c r="J9" s="83">
        <v>1731478.4992181121</v>
      </c>
      <c r="K9" s="83">
        <v>1457370.3002268476</v>
      </c>
      <c r="L9" s="83">
        <v>1338192.8224045588</v>
      </c>
      <c r="M9" s="83">
        <v>788273.88902456826</v>
      </c>
      <c r="N9" s="83">
        <v>1234338.1631594212</v>
      </c>
      <c r="O9" s="250">
        <v>16434574.191693645</v>
      </c>
    </row>
    <row r="10" spans="1:15" x14ac:dyDescent="0.25">
      <c r="A10" s="245"/>
      <c r="B10" s="246" t="s">
        <v>91</v>
      </c>
      <c r="C10" s="249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250">
        <v>0</v>
      </c>
    </row>
    <row r="11" spans="1:15" x14ac:dyDescent="0.25">
      <c r="A11" s="245"/>
      <c r="B11" s="246" t="s">
        <v>93</v>
      </c>
      <c r="C11" s="249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250">
        <v>0</v>
      </c>
    </row>
    <row r="12" spans="1:15" x14ac:dyDescent="0.25">
      <c r="A12" s="235" t="s">
        <v>17</v>
      </c>
      <c r="B12" s="235" t="s">
        <v>72</v>
      </c>
      <c r="C12" s="242">
        <v>159463.66897422046</v>
      </c>
      <c r="D12" s="243">
        <v>151797.14642738292</v>
      </c>
      <c r="E12" s="243">
        <v>151797.14642738292</v>
      </c>
      <c r="F12" s="243">
        <v>151797.14642738292</v>
      </c>
      <c r="G12" s="243">
        <v>162530.27799295547</v>
      </c>
      <c r="H12" s="243">
        <v>183996.54112410053</v>
      </c>
      <c r="I12" s="243">
        <v>179396.627595998</v>
      </c>
      <c r="J12" s="243">
        <v>180929.9321053655</v>
      </c>
      <c r="K12" s="243">
        <v>179396.627595998</v>
      </c>
      <c r="L12" s="243">
        <v>164063.58250232297</v>
      </c>
      <c r="M12" s="243">
        <v>139530.7103524429</v>
      </c>
      <c r="N12" s="243">
        <v>156397.05995548546</v>
      </c>
      <c r="O12" s="244">
        <v>1961096.4674810383</v>
      </c>
    </row>
    <row r="13" spans="1:15" ht="13" x14ac:dyDescent="0.3">
      <c r="A13" s="245"/>
      <c r="B13" s="246" t="s">
        <v>25</v>
      </c>
      <c r="C13" s="247">
        <v>-17600.012361751666</v>
      </c>
      <c r="D13" s="233">
        <v>-16753.857921282877</v>
      </c>
      <c r="E13" s="233">
        <v>-16753.857921282877</v>
      </c>
      <c r="F13" s="233">
        <v>-16753.857921282877</v>
      </c>
      <c r="G13" s="233">
        <v>-17938.474137939222</v>
      </c>
      <c r="H13" s="233">
        <v>-20307.70657125194</v>
      </c>
      <c r="I13" s="233">
        <v>-19800.013906970649</v>
      </c>
      <c r="J13" s="233">
        <v>-19969.244795064442</v>
      </c>
      <c r="K13" s="233">
        <v>-19800.013906970649</v>
      </c>
      <c r="L13" s="233">
        <v>-18107.705026032985</v>
      </c>
      <c r="M13" s="233">
        <v>-15400.01081653274</v>
      </c>
      <c r="N13" s="233">
        <v>-17261.550585564139</v>
      </c>
      <c r="O13" s="248">
        <v>-216446.30587192706</v>
      </c>
    </row>
    <row r="14" spans="1:15" ht="13" x14ac:dyDescent="0.3">
      <c r="A14" s="245"/>
      <c r="B14" s="246" t="s">
        <v>26</v>
      </c>
      <c r="C14" s="247">
        <v>-1403.3991515222581</v>
      </c>
      <c r="D14" s="233">
        <v>-1335.9280384683034</v>
      </c>
      <c r="E14" s="233">
        <v>-1335.9280384683034</v>
      </c>
      <c r="F14" s="233">
        <v>-1335.9280384683034</v>
      </c>
      <c r="G14" s="233">
        <v>-1430.38759674384</v>
      </c>
      <c r="H14" s="233">
        <v>-1619.3067132949132</v>
      </c>
      <c r="I14" s="233">
        <v>-1578.8240454625404</v>
      </c>
      <c r="J14" s="233">
        <v>-1592.3182680733312</v>
      </c>
      <c r="K14" s="233">
        <v>-1578.8240454625404</v>
      </c>
      <c r="L14" s="233">
        <v>-1443.8818193546308</v>
      </c>
      <c r="M14" s="233">
        <v>-1227.974257581976</v>
      </c>
      <c r="N14" s="233">
        <v>-1376.4107063006761</v>
      </c>
      <c r="O14" s="248">
        <v>-17259.110719201617</v>
      </c>
    </row>
    <row r="15" spans="1:15" ht="13" x14ac:dyDescent="0.3">
      <c r="A15" s="245"/>
      <c r="B15" s="246" t="s">
        <v>27</v>
      </c>
      <c r="C15" s="247">
        <v>-19003.411513273924</v>
      </c>
      <c r="D15" s="233">
        <v>-18089.785959751182</v>
      </c>
      <c r="E15" s="233">
        <v>-18089.785959751182</v>
      </c>
      <c r="F15" s="233">
        <v>-18089.785959751182</v>
      </c>
      <c r="G15" s="233">
        <v>-19368.861734683062</v>
      </c>
      <c r="H15" s="233">
        <v>-21927.013284546854</v>
      </c>
      <c r="I15" s="233">
        <v>-21378.83795243319</v>
      </c>
      <c r="J15" s="233">
        <v>-21561.563063137772</v>
      </c>
      <c r="K15" s="233">
        <v>-21378.83795243319</v>
      </c>
      <c r="L15" s="233">
        <v>-19551.586845387617</v>
      </c>
      <c r="M15" s="233">
        <v>-16627.985074114717</v>
      </c>
      <c r="N15" s="233">
        <v>-18637.961291864816</v>
      </c>
      <c r="O15" s="248">
        <v>-233705.41659112865</v>
      </c>
    </row>
    <row r="16" spans="1:15" x14ac:dyDescent="0.25">
      <c r="A16" s="245"/>
      <c r="B16" s="246" t="s">
        <v>51</v>
      </c>
      <c r="C16" s="249">
        <v>177063.68133597213</v>
      </c>
      <c r="D16" s="83">
        <v>168551.0043486658</v>
      </c>
      <c r="E16" s="83">
        <v>168551.0043486658</v>
      </c>
      <c r="F16" s="83">
        <v>168551.0043486658</v>
      </c>
      <c r="G16" s="83">
        <v>180468.75213089469</v>
      </c>
      <c r="H16" s="83">
        <v>204304.24769535247</v>
      </c>
      <c r="I16" s="83">
        <v>199196.64150296865</v>
      </c>
      <c r="J16" s="83">
        <v>200899.17690042994</v>
      </c>
      <c r="K16" s="83">
        <v>199196.64150296865</v>
      </c>
      <c r="L16" s="83">
        <v>182171.28752835596</v>
      </c>
      <c r="M16" s="83">
        <v>154930.72116897564</v>
      </c>
      <c r="N16" s="83">
        <v>173658.61054104959</v>
      </c>
      <c r="O16" s="250">
        <v>2177542.7733529652</v>
      </c>
    </row>
    <row r="17" spans="1:15" x14ac:dyDescent="0.25">
      <c r="A17" s="245"/>
      <c r="B17" s="246" t="s">
        <v>91</v>
      </c>
      <c r="C17" s="249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250">
        <v>0</v>
      </c>
    </row>
    <row r="18" spans="1:15" x14ac:dyDescent="0.25">
      <c r="A18" s="245"/>
      <c r="B18" s="246" t="s">
        <v>93</v>
      </c>
      <c r="C18" s="249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250">
        <v>0</v>
      </c>
    </row>
    <row r="19" spans="1:15" x14ac:dyDescent="0.25">
      <c r="A19" s="235" t="s">
        <v>13</v>
      </c>
      <c r="B19" s="235" t="s">
        <v>72</v>
      </c>
      <c r="C19" s="242">
        <v>2226358.1476016161</v>
      </c>
      <c r="D19" s="243">
        <v>1481172.1560490092</v>
      </c>
      <c r="E19" s="243">
        <v>1122378.9008570132</v>
      </c>
      <c r="F19" s="243">
        <v>838717.56662402488</v>
      </c>
      <c r="G19" s="243">
        <v>1145378.4684975257</v>
      </c>
      <c r="H19" s="243">
        <v>1406040.2350900015</v>
      </c>
      <c r="I19" s="243">
        <v>1456639.2838991291</v>
      </c>
      <c r="J19" s="243">
        <v>1441306.238805454</v>
      </c>
      <c r="K19" s="243">
        <v>1251176.4796438836</v>
      </c>
      <c r="L19" s="243">
        <v>1047246.9798980055</v>
      </c>
      <c r="M19" s="243">
        <v>804984.86741793982</v>
      </c>
      <c r="N19" s="243">
        <v>1323241.7915841562</v>
      </c>
      <c r="O19" s="244">
        <v>15544641.115967758</v>
      </c>
    </row>
    <row r="20" spans="1:15" ht="13" x14ac:dyDescent="0.3">
      <c r="A20" s="245"/>
      <c r="B20" s="246" t="s">
        <v>25</v>
      </c>
      <c r="C20" s="247">
        <v>-245723.24951214856</v>
      </c>
      <c r="D20" s="233">
        <v>-163477.03789857822</v>
      </c>
      <c r="E20" s="233">
        <v>-123877.01008463698</v>
      </c>
      <c r="F20" s="233">
        <v>-92569.295787290088</v>
      </c>
      <c r="G20" s="233">
        <v>-126415.47340604337</v>
      </c>
      <c r="H20" s="233">
        <v>-155184.72438198375</v>
      </c>
      <c r="I20" s="233">
        <v>-160769.343689078</v>
      </c>
      <c r="J20" s="233">
        <v>-159077.03480814025</v>
      </c>
      <c r="K20" s="233">
        <v>-138092.40468451311</v>
      </c>
      <c r="L20" s="233">
        <v>-115584.69656804227</v>
      </c>
      <c r="M20" s="233">
        <v>-88846.216249227175</v>
      </c>
      <c r="N20" s="233">
        <v>-146046.2564249204</v>
      </c>
      <c r="O20" s="248">
        <v>-1715662.7434946022</v>
      </c>
    </row>
    <row r="21" spans="1:15" ht="13" x14ac:dyDescent="0.3">
      <c r="A21" s="245"/>
      <c r="B21" s="246" t="s">
        <v>26</v>
      </c>
      <c r="C21" s="247">
        <v>-19593.61123086845</v>
      </c>
      <c r="D21" s="233">
        <v>-13035.41904202405</v>
      </c>
      <c r="E21" s="233">
        <v>-9877.7709510989698</v>
      </c>
      <c r="F21" s="233">
        <v>-7381.3397681026454</v>
      </c>
      <c r="G21" s="233">
        <v>-10080.184290260835</v>
      </c>
      <c r="H21" s="233">
        <v>-12374.202134095294</v>
      </c>
      <c r="I21" s="233">
        <v>-12819.511480251396</v>
      </c>
      <c r="J21" s="233">
        <v>-12684.569254143486</v>
      </c>
      <c r="K21" s="233">
        <v>-11011.285650405409</v>
      </c>
      <c r="L21" s="233">
        <v>-9216.5540431702138</v>
      </c>
      <c r="M21" s="233">
        <v>-7084.4668706652456</v>
      </c>
      <c r="N21" s="233">
        <v>-11645.514113112584</v>
      </c>
      <c r="O21" s="248">
        <v>-136804.42882819858</v>
      </c>
    </row>
    <row r="22" spans="1:15" ht="13" x14ac:dyDescent="0.3">
      <c r="A22" s="245"/>
      <c r="B22" s="246" t="s">
        <v>27</v>
      </c>
      <c r="C22" s="247">
        <v>-265316.86074301699</v>
      </c>
      <c r="D22" s="233">
        <v>-176512.45694060228</v>
      </c>
      <c r="E22" s="233">
        <v>-133754.78103573594</v>
      </c>
      <c r="F22" s="233">
        <v>-99950.635555392728</v>
      </c>
      <c r="G22" s="233">
        <v>-136495.6576963042</v>
      </c>
      <c r="H22" s="233">
        <v>-167558.92651607905</v>
      </c>
      <c r="I22" s="233">
        <v>-173588.85516932938</v>
      </c>
      <c r="J22" s="233">
        <v>-171761.60406228373</v>
      </c>
      <c r="K22" s="233">
        <v>-149103.69033491853</v>
      </c>
      <c r="L22" s="233">
        <v>-124801.25061121248</v>
      </c>
      <c r="M22" s="233">
        <v>-95930.683119892419</v>
      </c>
      <c r="N22" s="233">
        <v>-157691.77053803299</v>
      </c>
      <c r="O22" s="248">
        <v>-1852467.1723228006</v>
      </c>
    </row>
    <row r="23" spans="1:15" x14ac:dyDescent="0.25">
      <c r="A23" s="245"/>
      <c r="B23" s="246" t="s">
        <v>51</v>
      </c>
      <c r="C23" s="249">
        <v>2472081.3971137647</v>
      </c>
      <c r="D23" s="83">
        <v>1644649.1939475874</v>
      </c>
      <c r="E23" s="83">
        <v>1246255.9109416502</v>
      </c>
      <c r="F23" s="83">
        <v>931286.86241131497</v>
      </c>
      <c r="G23" s="83">
        <v>1271793.941903569</v>
      </c>
      <c r="H23" s="83">
        <v>1561224.9594719852</v>
      </c>
      <c r="I23" s="83">
        <v>1617408.6275882071</v>
      </c>
      <c r="J23" s="83">
        <v>1600383.2736135942</v>
      </c>
      <c r="K23" s="83">
        <v>1389268.8843283968</v>
      </c>
      <c r="L23" s="83">
        <v>1162831.6764660478</v>
      </c>
      <c r="M23" s="83">
        <v>893831.083667167</v>
      </c>
      <c r="N23" s="83">
        <v>1469288.0480090766</v>
      </c>
      <c r="O23" s="250">
        <v>17260303.859462358</v>
      </c>
    </row>
    <row r="24" spans="1:15" x14ac:dyDescent="0.25">
      <c r="A24" s="245"/>
      <c r="B24" s="246" t="s">
        <v>91</v>
      </c>
      <c r="C24" s="249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250">
        <v>0</v>
      </c>
    </row>
    <row r="25" spans="1:15" x14ac:dyDescent="0.25">
      <c r="A25" s="245"/>
      <c r="B25" s="246" t="s">
        <v>93</v>
      </c>
      <c r="C25" s="249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250">
        <v>0</v>
      </c>
    </row>
    <row r="26" spans="1:15" x14ac:dyDescent="0.25">
      <c r="A26" s="235" t="s">
        <v>15</v>
      </c>
      <c r="B26" s="235" t="s">
        <v>72</v>
      </c>
      <c r="C26" s="242">
        <v>12266.436074940035</v>
      </c>
      <c r="D26" s="243">
        <v>7666.522546837522</v>
      </c>
      <c r="E26" s="243">
        <v>7666.522546837522</v>
      </c>
      <c r="F26" s="243">
        <v>9199.8270562050257</v>
      </c>
      <c r="G26" s="243">
        <v>13799.740584307539</v>
      </c>
      <c r="H26" s="243">
        <v>21466.26313114506</v>
      </c>
      <c r="I26" s="243">
        <v>26066.176659247572</v>
      </c>
      <c r="J26" s="243">
        <v>29132.785677982582</v>
      </c>
      <c r="K26" s="243">
        <v>16866.349603042549</v>
      </c>
      <c r="L26" s="243">
        <v>9199.8270562050257</v>
      </c>
      <c r="M26" s="243">
        <v>9199.8270562050257</v>
      </c>
      <c r="N26" s="243">
        <v>9199.8270562050257</v>
      </c>
      <c r="O26" s="244">
        <v>171730.10504916045</v>
      </c>
    </row>
    <row r="27" spans="1:15" ht="13" x14ac:dyDescent="0.3">
      <c r="A27" s="245"/>
      <c r="B27" s="246" t="s">
        <v>25</v>
      </c>
      <c r="C27" s="247">
        <v>-1353.8471047501298</v>
      </c>
      <c r="D27" s="233">
        <v>-846.15444046883113</v>
      </c>
      <c r="E27" s="233">
        <v>-846.15444046883113</v>
      </c>
      <c r="F27" s="233">
        <v>-1015.3853285625974</v>
      </c>
      <c r="G27" s="233">
        <v>-1523.0779928438951</v>
      </c>
      <c r="H27" s="233">
        <v>-2369.232433312729</v>
      </c>
      <c r="I27" s="233">
        <v>-2876.9250975940267</v>
      </c>
      <c r="J27" s="233">
        <v>-3215.386873781561</v>
      </c>
      <c r="K27" s="233">
        <v>-1861.5397690314276</v>
      </c>
      <c r="L27" s="233">
        <v>-1015.3853285625974</v>
      </c>
      <c r="M27" s="233">
        <v>-1015.3853285625974</v>
      </c>
      <c r="N27" s="233">
        <v>-1015.3853285625974</v>
      </c>
      <c r="O27" s="248">
        <v>-18953.859466501817</v>
      </c>
    </row>
    <row r="28" spans="1:15" ht="13" x14ac:dyDescent="0.3">
      <c r="A28" s="245"/>
      <c r="B28" s="246" t="s">
        <v>26</v>
      </c>
      <c r="C28" s="247">
        <v>-107.95378088632755</v>
      </c>
      <c r="D28" s="233">
        <v>-67.471113053954724</v>
      </c>
      <c r="E28" s="233">
        <v>-67.471113053954724</v>
      </c>
      <c r="F28" s="233">
        <v>-80.965335664745652</v>
      </c>
      <c r="G28" s="233">
        <v>-121.44800349711849</v>
      </c>
      <c r="H28" s="233">
        <v>-188.91911655107322</v>
      </c>
      <c r="I28" s="233">
        <v>-229.40178438344603</v>
      </c>
      <c r="J28" s="233">
        <v>-256.39022960502791</v>
      </c>
      <c r="K28" s="233">
        <v>-148.43644871870038</v>
      </c>
      <c r="L28" s="233">
        <v>-80.965335664745652</v>
      </c>
      <c r="M28" s="233">
        <v>-80.965335664745652</v>
      </c>
      <c r="N28" s="233">
        <v>-80.965335664745652</v>
      </c>
      <c r="O28" s="248">
        <v>-1511.3529324085857</v>
      </c>
    </row>
    <row r="29" spans="1:15" ht="13" x14ac:dyDescent="0.3">
      <c r="A29" s="245"/>
      <c r="B29" s="246" t="s">
        <v>27</v>
      </c>
      <c r="C29" s="247">
        <v>-1461.8008856364575</v>
      </c>
      <c r="D29" s="233">
        <v>-913.62555352278582</v>
      </c>
      <c r="E29" s="233">
        <v>-913.62555352278582</v>
      </c>
      <c r="F29" s="233">
        <v>-1096.350664227343</v>
      </c>
      <c r="G29" s="233">
        <v>-1644.5259963410135</v>
      </c>
      <c r="H29" s="233">
        <v>-2558.1515498638023</v>
      </c>
      <c r="I29" s="233">
        <v>-3106.3268819774726</v>
      </c>
      <c r="J29" s="233">
        <v>-3471.7771033865888</v>
      </c>
      <c r="K29" s="233">
        <v>-2009.9762177501279</v>
      </c>
      <c r="L29" s="233">
        <v>-1096.350664227343</v>
      </c>
      <c r="M29" s="233">
        <v>-1096.350664227343</v>
      </c>
      <c r="N29" s="233">
        <v>-1096.350664227343</v>
      </c>
      <c r="O29" s="248">
        <v>-20465.212398910404</v>
      </c>
    </row>
    <row r="30" spans="1:15" x14ac:dyDescent="0.25">
      <c r="A30" s="245"/>
      <c r="B30" s="246" t="s">
        <v>51</v>
      </c>
      <c r="C30" s="249">
        <v>13620.283179690165</v>
      </c>
      <c r="D30" s="83">
        <v>8512.6769873063531</v>
      </c>
      <c r="E30" s="83">
        <v>8512.6769873063531</v>
      </c>
      <c r="F30" s="83">
        <v>10215.212384767623</v>
      </c>
      <c r="G30" s="83">
        <v>15322.818577151435</v>
      </c>
      <c r="H30" s="83">
        <v>23835.495564457789</v>
      </c>
      <c r="I30" s="83">
        <v>28943.101756841599</v>
      </c>
      <c r="J30" s="83">
        <v>32348.172551764143</v>
      </c>
      <c r="K30" s="83">
        <v>18727.889372073976</v>
      </c>
      <c r="L30" s="83">
        <v>10215.212384767623</v>
      </c>
      <c r="M30" s="83">
        <v>10215.212384767623</v>
      </c>
      <c r="N30" s="83">
        <v>10215.212384767623</v>
      </c>
      <c r="O30" s="250">
        <v>190683.96451566232</v>
      </c>
    </row>
    <row r="31" spans="1:15" x14ac:dyDescent="0.25">
      <c r="A31" s="245"/>
      <c r="B31" s="246" t="s">
        <v>91</v>
      </c>
      <c r="C31" s="249">
        <v>0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250">
        <v>0</v>
      </c>
    </row>
    <row r="32" spans="1:15" x14ac:dyDescent="0.25">
      <c r="A32" s="245"/>
      <c r="B32" s="246" t="s">
        <v>93</v>
      </c>
      <c r="C32" s="249">
        <v>0</v>
      </c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250">
        <v>0</v>
      </c>
    </row>
    <row r="33" spans="1:15" x14ac:dyDescent="0.25">
      <c r="A33" s="235" t="s">
        <v>16</v>
      </c>
      <c r="B33" s="235" t="s">
        <v>72</v>
      </c>
      <c r="C33" s="242">
        <v>6133.2180374700174</v>
      </c>
      <c r="D33" s="243">
        <v>4599.9135281025128</v>
      </c>
      <c r="E33" s="243">
        <v>4599.9135281025128</v>
      </c>
      <c r="F33" s="243">
        <v>3066.6090187350087</v>
      </c>
      <c r="G33" s="243">
        <v>6133.2180374700174</v>
      </c>
      <c r="H33" s="243">
        <v>6133.2180374700174</v>
      </c>
      <c r="I33" s="243">
        <v>9199.8270562050257</v>
      </c>
      <c r="J33" s="243">
        <v>9199.8270562050257</v>
      </c>
      <c r="K33" s="243">
        <v>4599.9135281025128</v>
      </c>
      <c r="L33" s="243">
        <v>9199.8270562050257</v>
      </c>
      <c r="M33" s="243">
        <v>1533.3045093675044</v>
      </c>
      <c r="N33" s="243">
        <v>4599.9135281025128</v>
      </c>
      <c r="O33" s="244">
        <v>68998.702921537697</v>
      </c>
    </row>
    <row r="34" spans="1:15" ht="13" x14ac:dyDescent="0.3">
      <c r="A34" s="245"/>
      <c r="B34" s="246" t="s">
        <v>25</v>
      </c>
      <c r="C34" s="247">
        <v>-676.9235523750649</v>
      </c>
      <c r="D34" s="233">
        <v>-507.69266428129868</v>
      </c>
      <c r="E34" s="233">
        <v>-507.69266428129868</v>
      </c>
      <c r="F34" s="233">
        <v>-338.46177618753245</v>
      </c>
      <c r="G34" s="233">
        <v>-676.9235523750649</v>
      </c>
      <c r="H34" s="233">
        <v>-676.9235523750649</v>
      </c>
      <c r="I34" s="233">
        <v>-1015.3853285625974</v>
      </c>
      <c r="J34" s="233">
        <v>-1015.3853285625974</v>
      </c>
      <c r="K34" s="233">
        <v>-507.69266428129868</v>
      </c>
      <c r="L34" s="233">
        <v>-1015.3853285625974</v>
      </c>
      <c r="M34" s="233">
        <v>-169.23088809376623</v>
      </c>
      <c r="N34" s="233">
        <v>-507.69266428129868</v>
      </c>
      <c r="O34" s="248">
        <v>-7615.3899642194801</v>
      </c>
    </row>
    <row r="35" spans="1:15" ht="13" x14ac:dyDescent="0.3">
      <c r="A35" s="245"/>
      <c r="B35" s="246" t="s">
        <v>26</v>
      </c>
      <c r="C35" s="247">
        <v>-53.976890443163775</v>
      </c>
      <c r="D35" s="233">
        <v>-40.482667832372826</v>
      </c>
      <c r="E35" s="233">
        <v>-40.482667832372826</v>
      </c>
      <c r="F35" s="233">
        <v>-26.988445221581888</v>
      </c>
      <c r="G35" s="233">
        <v>-53.976890443163775</v>
      </c>
      <c r="H35" s="233">
        <v>-53.976890443163775</v>
      </c>
      <c r="I35" s="233">
        <v>-80.965335664745652</v>
      </c>
      <c r="J35" s="233">
        <v>-80.965335664745652</v>
      </c>
      <c r="K35" s="233">
        <v>-40.482667832372826</v>
      </c>
      <c r="L35" s="233">
        <v>-80.965335664745652</v>
      </c>
      <c r="M35" s="233">
        <v>-13.494222610790944</v>
      </c>
      <c r="N35" s="233">
        <v>-40.482667832372826</v>
      </c>
      <c r="O35" s="248">
        <v>-607.2400174855926</v>
      </c>
    </row>
    <row r="36" spans="1:15" ht="13" x14ac:dyDescent="0.3">
      <c r="A36" s="245"/>
      <c r="B36" s="246" t="s">
        <v>27</v>
      </c>
      <c r="C36" s="247">
        <v>-730.90044281822873</v>
      </c>
      <c r="D36" s="233">
        <v>-548.17533211367152</v>
      </c>
      <c r="E36" s="233">
        <v>-548.17533211367152</v>
      </c>
      <c r="F36" s="233">
        <v>-365.45022140911436</v>
      </c>
      <c r="G36" s="233">
        <v>-730.90044281822873</v>
      </c>
      <c r="H36" s="233">
        <v>-730.90044281822873</v>
      </c>
      <c r="I36" s="233">
        <v>-1096.350664227343</v>
      </c>
      <c r="J36" s="233">
        <v>-1096.350664227343</v>
      </c>
      <c r="K36" s="233">
        <v>-548.17533211367152</v>
      </c>
      <c r="L36" s="233">
        <v>-1096.350664227343</v>
      </c>
      <c r="M36" s="233">
        <v>-182.72511070455718</v>
      </c>
      <c r="N36" s="233">
        <v>-548.17533211367152</v>
      </c>
      <c r="O36" s="248">
        <v>-8222.6299817050731</v>
      </c>
    </row>
    <row r="37" spans="1:15" x14ac:dyDescent="0.25">
      <c r="A37" s="245"/>
      <c r="B37" s="246" t="s">
        <v>51</v>
      </c>
      <c r="C37" s="249">
        <v>6810.1415898450823</v>
      </c>
      <c r="D37" s="83">
        <v>5107.6061923838115</v>
      </c>
      <c r="E37" s="83">
        <v>5107.6061923838115</v>
      </c>
      <c r="F37" s="83">
        <v>3405.0707949225412</v>
      </c>
      <c r="G37" s="83">
        <v>6810.1415898450823</v>
      </c>
      <c r="H37" s="83">
        <v>6810.1415898450823</v>
      </c>
      <c r="I37" s="83">
        <v>10215.212384767623</v>
      </c>
      <c r="J37" s="83">
        <v>10215.212384767623</v>
      </c>
      <c r="K37" s="83">
        <v>5107.6061923838115</v>
      </c>
      <c r="L37" s="83">
        <v>10215.212384767623</v>
      </c>
      <c r="M37" s="83">
        <v>1702.5353974612706</v>
      </c>
      <c r="N37" s="83">
        <v>5107.6061923838115</v>
      </c>
      <c r="O37" s="250">
        <v>76614.092885757185</v>
      </c>
    </row>
    <row r="38" spans="1:15" x14ac:dyDescent="0.25">
      <c r="A38" s="245"/>
      <c r="B38" s="246" t="s">
        <v>91</v>
      </c>
      <c r="C38" s="249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250">
        <v>0</v>
      </c>
    </row>
    <row r="39" spans="1:15" x14ac:dyDescent="0.25">
      <c r="A39" s="245"/>
      <c r="B39" s="246" t="s">
        <v>93</v>
      </c>
      <c r="C39" s="249">
        <v>0</v>
      </c>
      <c r="D39" s="83">
        <v>0</v>
      </c>
      <c r="E39" s="83">
        <v>0</v>
      </c>
      <c r="F39" s="83">
        <v>0</v>
      </c>
      <c r="G39" s="83">
        <v>0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250">
        <v>0</v>
      </c>
    </row>
    <row r="40" spans="1:15" x14ac:dyDescent="0.25">
      <c r="A40" s="235" t="s">
        <v>19</v>
      </c>
      <c r="B40" s="235" t="s">
        <v>72</v>
      </c>
      <c r="C40" s="242">
        <v>99664.793108887781</v>
      </c>
      <c r="D40" s="243">
        <v>99664.793108887781</v>
      </c>
      <c r="E40" s="243">
        <v>98131.488599520279</v>
      </c>
      <c r="F40" s="243">
        <v>99664.793108887781</v>
      </c>
      <c r="G40" s="243">
        <v>78198.529977742728</v>
      </c>
      <c r="H40" s="243">
        <v>90464.96605268275</v>
      </c>
      <c r="I40" s="243">
        <v>102731.40212762279</v>
      </c>
      <c r="J40" s="243">
        <v>107331.31565572531</v>
      </c>
      <c r="K40" s="243">
        <v>110397.92467446032</v>
      </c>
      <c r="L40" s="243">
        <v>111931.22918382782</v>
      </c>
      <c r="M40" s="243">
        <v>110397.92467446032</v>
      </c>
      <c r="N40" s="243">
        <v>99664.793108887781</v>
      </c>
      <c r="O40" s="244">
        <v>1208243.9533815931</v>
      </c>
    </row>
    <row r="41" spans="1:15" ht="13" x14ac:dyDescent="0.3">
      <c r="A41" s="245"/>
      <c r="B41" s="246" t="s">
        <v>25</v>
      </c>
      <c r="C41" s="247">
        <v>-11000.007726094802</v>
      </c>
      <c r="D41" s="233">
        <v>-11000.007726094802</v>
      </c>
      <c r="E41" s="233">
        <v>-10830.776838001038</v>
      </c>
      <c r="F41" s="233">
        <v>-11000.007726094802</v>
      </c>
      <c r="G41" s="233">
        <v>-8630.7752927820693</v>
      </c>
      <c r="H41" s="233">
        <v>-9984.6223975322209</v>
      </c>
      <c r="I41" s="233">
        <v>-11338.469502282343</v>
      </c>
      <c r="J41" s="233">
        <v>-11846.162166563634</v>
      </c>
      <c r="K41" s="233">
        <v>-12184.623942751161</v>
      </c>
      <c r="L41" s="233">
        <v>-12353.854830844939</v>
      </c>
      <c r="M41" s="233">
        <v>-12184.623942751161</v>
      </c>
      <c r="N41" s="233">
        <v>-11000.007726094802</v>
      </c>
      <c r="O41" s="248">
        <v>-133353.93981788779</v>
      </c>
    </row>
    <row r="42" spans="1:15" ht="13" x14ac:dyDescent="0.3">
      <c r="A42" s="245"/>
      <c r="B42" s="246" t="s">
        <v>26</v>
      </c>
      <c r="C42" s="247">
        <v>-877.12446970141139</v>
      </c>
      <c r="D42" s="233">
        <v>-877.12446970141139</v>
      </c>
      <c r="E42" s="233">
        <v>-863.6302470906204</v>
      </c>
      <c r="F42" s="233">
        <v>-877.12446970141139</v>
      </c>
      <c r="G42" s="233">
        <v>-688.20535315033806</v>
      </c>
      <c r="H42" s="233">
        <v>-796.15913403666559</v>
      </c>
      <c r="I42" s="233">
        <v>-904.11291492299313</v>
      </c>
      <c r="J42" s="233">
        <v>-944.59558275536597</v>
      </c>
      <c r="K42" s="233">
        <v>-971.58402797694794</v>
      </c>
      <c r="L42" s="233">
        <v>-985.07825058773881</v>
      </c>
      <c r="M42" s="233">
        <v>-971.58402797694794</v>
      </c>
      <c r="N42" s="233">
        <v>-877.12446970141139</v>
      </c>
      <c r="O42" s="248">
        <v>-10633.447417303263</v>
      </c>
    </row>
    <row r="43" spans="1:15" ht="13" x14ac:dyDescent="0.3">
      <c r="A43" s="245"/>
      <c r="B43" s="246" t="s">
        <v>27</v>
      </c>
      <c r="C43" s="247">
        <v>-11877.132195796214</v>
      </c>
      <c r="D43" s="233">
        <v>-11877.132195796214</v>
      </c>
      <c r="E43" s="233">
        <v>-11694.40708509166</v>
      </c>
      <c r="F43" s="233">
        <v>-11877.132195796214</v>
      </c>
      <c r="G43" s="233">
        <v>-9318.9806459324082</v>
      </c>
      <c r="H43" s="233">
        <v>-10780.781531568886</v>
      </c>
      <c r="I43" s="233">
        <v>-12242.582417205336</v>
      </c>
      <c r="J43" s="233">
        <v>-12790.757749319</v>
      </c>
      <c r="K43" s="233">
        <v>-13156.207970728108</v>
      </c>
      <c r="L43" s="233">
        <v>-13338.933081432679</v>
      </c>
      <c r="M43" s="233">
        <v>-13156.207970728108</v>
      </c>
      <c r="N43" s="233">
        <v>-11877.132195796214</v>
      </c>
      <c r="O43" s="248">
        <v>-143987.38723519104</v>
      </c>
    </row>
    <row r="44" spans="1:15" x14ac:dyDescent="0.25">
      <c r="A44" s="245"/>
      <c r="B44" s="246" t="s">
        <v>51</v>
      </c>
      <c r="C44" s="249">
        <v>110664.80083498258</v>
      </c>
      <c r="D44" s="83">
        <v>110664.80083498258</v>
      </c>
      <c r="E44" s="83">
        <v>108962.26543752132</v>
      </c>
      <c r="F44" s="83">
        <v>110664.80083498258</v>
      </c>
      <c r="G44" s="83">
        <v>86829.305270524797</v>
      </c>
      <c r="H44" s="83">
        <v>100449.58845021497</v>
      </c>
      <c r="I44" s="83">
        <v>114069.87162990513</v>
      </c>
      <c r="J44" s="83">
        <v>119177.47782228894</v>
      </c>
      <c r="K44" s="83">
        <v>122582.54861721148</v>
      </c>
      <c r="L44" s="83">
        <v>124285.08401467276</v>
      </c>
      <c r="M44" s="83">
        <v>122582.54861721148</v>
      </c>
      <c r="N44" s="83">
        <v>110664.80083498258</v>
      </c>
      <c r="O44" s="250">
        <v>1341597.8931994813</v>
      </c>
    </row>
    <row r="45" spans="1:15" x14ac:dyDescent="0.25">
      <c r="A45" s="245"/>
      <c r="B45" s="246" t="s">
        <v>91</v>
      </c>
      <c r="C45" s="249">
        <v>0</v>
      </c>
      <c r="D45" s="83">
        <v>0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250">
        <v>0</v>
      </c>
    </row>
    <row r="46" spans="1:15" x14ac:dyDescent="0.25">
      <c r="A46" s="245"/>
      <c r="B46" s="246" t="s">
        <v>93</v>
      </c>
      <c r="C46" s="249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250">
        <v>0</v>
      </c>
    </row>
    <row r="47" spans="1:15" x14ac:dyDescent="0.25">
      <c r="A47" s="235" t="s">
        <v>8</v>
      </c>
      <c r="B47" s="235" t="s">
        <v>72</v>
      </c>
      <c r="C47" s="242">
        <v>144130.6238805454</v>
      </c>
      <c r="D47" s="243">
        <v>95064.879580785273</v>
      </c>
      <c r="E47" s="243">
        <v>91998.270562050267</v>
      </c>
      <c r="F47" s="243">
        <v>141064.0148618104</v>
      </c>
      <c r="G47" s="243">
        <v>180929.9321053655</v>
      </c>
      <c r="H47" s="243">
        <v>219262.54483955313</v>
      </c>
      <c r="I47" s="243">
        <v>231528.98091449315</v>
      </c>
      <c r="J47" s="243">
        <v>240728.8079706982</v>
      </c>
      <c r="K47" s="243">
        <v>223862.45836765564</v>
      </c>
      <c r="L47" s="243">
        <v>177863.32308663049</v>
      </c>
      <c r="M47" s="243">
        <v>95064.879580785273</v>
      </c>
      <c r="N47" s="243">
        <v>118064.44722129783</v>
      </c>
      <c r="O47" s="244">
        <v>1959563.1629716705</v>
      </c>
    </row>
    <row r="48" spans="1:15" ht="13" x14ac:dyDescent="0.3">
      <c r="A48" s="245"/>
      <c r="B48" s="246" t="s">
        <v>25</v>
      </c>
      <c r="C48" s="247">
        <v>-15907.703480814031</v>
      </c>
      <c r="D48" s="233">
        <v>-10492.315061813497</v>
      </c>
      <c r="E48" s="233">
        <v>-10153.85328562597</v>
      </c>
      <c r="F48" s="233">
        <v>-15569.241704626504</v>
      </c>
      <c r="G48" s="233">
        <v>-19969.244795064442</v>
      </c>
      <c r="H48" s="233">
        <v>-24200.016997408558</v>
      </c>
      <c r="I48" s="233">
        <v>-25553.864102158695</v>
      </c>
      <c r="J48" s="233">
        <v>-26569.249430721306</v>
      </c>
      <c r="K48" s="233">
        <v>-24707.709661689878</v>
      </c>
      <c r="L48" s="233">
        <v>-19630.783018876886</v>
      </c>
      <c r="M48" s="233">
        <v>-10492.315061813497</v>
      </c>
      <c r="N48" s="233">
        <v>-13030.778383219993</v>
      </c>
      <c r="O48" s="248">
        <v>-216277.07498383327</v>
      </c>
    </row>
    <row r="49" spans="1:15" ht="13" x14ac:dyDescent="0.3">
      <c r="A49" s="245"/>
      <c r="B49" s="246" t="s">
        <v>26</v>
      </c>
      <c r="C49" s="247">
        <v>-1268.4569254143487</v>
      </c>
      <c r="D49" s="233">
        <v>-836.64180186903843</v>
      </c>
      <c r="E49" s="233">
        <v>-809.65335664745658</v>
      </c>
      <c r="F49" s="233">
        <v>-1241.4684801927667</v>
      </c>
      <c r="G49" s="233">
        <v>-1592.3182680733312</v>
      </c>
      <c r="H49" s="233">
        <v>-1929.6738333431047</v>
      </c>
      <c r="I49" s="233">
        <v>-2037.6276142294323</v>
      </c>
      <c r="J49" s="233">
        <v>-2118.5929498941778</v>
      </c>
      <c r="K49" s="233">
        <v>-1970.1565011754776</v>
      </c>
      <c r="L49" s="233">
        <v>-1565.3298228517492</v>
      </c>
      <c r="M49" s="233">
        <v>-836.64180186903843</v>
      </c>
      <c r="N49" s="233">
        <v>-1039.0551410309026</v>
      </c>
      <c r="O49" s="248">
        <v>-17245.616496590825</v>
      </c>
    </row>
    <row r="50" spans="1:15" ht="13" x14ac:dyDescent="0.3">
      <c r="A50" s="245"/>
      <c r="B50" s="246" t="s">
        <v>27</v>
      </c>
      <c r="C50" s="247">
        <v>-17176.16040622838</v>
      </c>
      <c r="D50" s="233">
        <v>-11328.956863682535</v>
      </c>
      <c r="E50" s="233">
        <v>-10963.506642273427</v>
      </c>
      <c r="F50" s="233">
        <v>-16810.710184819269</v>
      </c>
      <c r="G50" s="233">
        <v>-21561.563063137772</v>
      </c>
      <c r="H50" s="233">
        <v>-26129.690830751664</v>
      </c>
      <c r="I50" s="233">
        <v>-27591.491716388129</v>
      </c>
      <c r="J50" s="233">
        <v>-28687.842380615482</v>
      </c>
      <c r="K50" s="233">
        <v>-26677.866162865357</v>
      </c>
      <c r="L50" s="233">
        <v>-21196.112841728635</v>
      </c>
      <c r="M50" s="233">
        <v>-11328.956863682535</v>
      </c>
      <c r="N50" s="233">
        <v>-14069.833524250895</v>
      </c>
      <c r="O50" s="248">
        <v>-233522.69148042408</v>
      </c>
    </row>
    <row r="51" spans="1:15" x14ac:dyDescent="0.25">
      <c r="A51" s="245"/>
      <c r="B51" s="246" t="s">
        <v>51</v>
      </c>
      <c r="C51" s="249">
        <v>160038.32736135944</v>
      </c>
      <c r="D51" s="83">
        <v>105557.19464259877</v>
      </c>
      <c r="E51" s="83">
        <v>102152.12384767624</v>
      </c>
      <c r="F51" s="83">
        <v>156633.2565664369</v>
      </c>
      <c r="G51" s="83">
        <v>200899.17690042994</v>
      </c>
      <c r="H51" s="83">
        <v>243462.56183696169</v>
      </c>
      <c r="I51" s="83">
        <v>257082.84501665185</v>
      </c>
      <c r="J51" s="83">
        <v>267298.0574014195</v>
      </c>
      <c r="K51" s="83">
        <v>248570.16802934551</v>
      </c>
      <c r="L51" s="83">
        <v>197494.10610550738</v>
      </c>
      <c r="M51" s="83">
        <v>105557.19464259877</v>
      </c>
      <c r="N51" s="83">
        <v>131095.22560451782</v>
      </c>
      <c r="O51" s="250">
        <v>2175840.2379555036</v>
      </c>
    </row>
    <row r="52" spans="1:15" x14ac:dyDescent="0.25">
      <c r="A52" s="245"/>
      <c r="B52" s="246" t="s">
        <v>91</v>
      </c>
      <c r="C52" s="249">
        <v>0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250">
        <v>0</v>
      </c>
    </row>
    <row r="53" spans="1:15" x14ac:dyDescent="0.25">
      <c r="A53" s="245"/>
      <c r="B53" s="246" t="s">
        <v>93</v>
      </c>
      <c r="C53" s="249">
        <v>0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3">
        <v>0</v>
      </c>
      <c r="N53" s="83">
        <v>0</v>
      </c>
      <c r="O53" s="250">
        <v>0</v>
      </c>
    </row>
    <row r="54" spans="1:15" x14ac:dyDescent="0.25">
      <c r="A54" s="235" t="s">
        <v>21</v>
      </c>
      <c r="B54" s="235" t="s">
        <v>72</v>
      </c>
      <c r="C54" s="242">
        <v>4986306.2644631239</v>
      </c>
      <c r="D54" s="243">
        <v>3584865.9429012253</v>
      </c>
      <c r="E54" s="243">
        <v>3397802.7927583898</v>
      </c>
      <c r="F54" s="243">
        <v>4257986.6225135596</v>
      </c>
      <c r="G54" s="243">
        <v>4975573.1328975512</v>
      </c>
      <c r="H54" s="243">
        <v>6255882.3982194178</v>
      </c>
      <c r="I54" s="243">
        <v>6361680.409365776</v>
      </c>
      <c r="J54" s="243">
        <v>6364747.0183845107</v>
      </c>
      <c r="K54" s="243">
        <v>5917022.1016491996</v>
      </c>
      <c r="L54" s="243">
        <v>5257701.1626211721</v>
      </c>
      <c r="M54" s="243">
        <v>3403936.0107958596</v>
      </c>
      <c r="N54" s="243">
        <v>3939059.2845651186</v>
      </c>
      <c r="O54" s="244">
        <v>58702563.14113491</v>
      </c>
    </row>
    <row r="55" spans="1:15" ht="13" x14ac:dyDescent="0.3">
      <c r="A55" s="245"/>
      <c r="B55" s="246" t="s">
        <v>25</v>
      </c>
      <c r="C55" s="247">
        <v>-550338.84808092844</v>
      </c>
      <c r="D55" s="233">
        <v>-395661.81636322523</v>
      </c>
      <c r="E55" s="233">
        <v>-375015.64801578596</v>
      </c>
      <c r="F55" s="233">
        <v>-469954.1762363892</v>
      </c>
      <c r="G55" s="233">
        <v>-549154.23186427169</v>
      </c>
      <c r="H55" s="233">
        <v>-690462.02342256624</v>
      </c>
      <c r="I55" s="233">
        <v>-702138.95470103528</v>
      </c>
      <c r="J55" s="233">
        <v>-702477.41647722386</v>
      </c>
      <c r="K55" s="233">
        <v>-653061.99715384375</v>
      </c>
      <c r="L55" s="233">
        <v>-580292.71527352463</v>
      </c>
      <c r="M55" s="233">
        <v>-375692.57156816125</v>
      </c>
      <c r="N55" s="233">
        <v>-434754.15151288593</v>
      </c>
      <c r="O55" s="248">
        <v>-6479004.5506698415</v>
      </c>
    </row>
    <row r="56" spans="1:15" ht="13" x14ac:dyDescent="0.3">
      <c r="A56" s="245"/>
      <c r="B56" s="246" t="s">
        <v>26</v>
      </c>
      <c r="C56" s="247">
        <v>-43883.211930292149</v>
      </c>
      <c r="D56" s="233">
        <v>-31549.492464029227</v>
      </c>
      <c r="E56" s="233">
        <v>-29903.197305512727</v>
      </c>
      <c r="F56" s="233">
        <v>-37473.456190166449</v>
      </c>
      <c r="G56" s="233">
        <v>-43788.752372016606</v>
      </c>
      <c r="H56" s="233">
        <v>-55056.428252027043</v>
      </c>
      <c r="I56" s="233">
        <v>-55987.529612171616</v>
      </c>
      <c r="J56" s="233">
        <v>-56014.518057393208</v>
      </c>
      <c r="K56" s="233">
        <v>-52074.20505504225</v>
      </c>
      <c r="L56" s="233">
        <v>-46271.689332402144</v>
      </c>
      <c r="M56" s="233">
        <v>-29957.174195955893</v>
      </c>
      <c r="N56" s="233">
        <v>-34666.657887121932</v>
      </c>
      <c r="O56" s="248">
        <v>-516626.31265413127</v>
      </c>
    </row>
    <row r="57" spans="1:15" ht="13" x14ac:dyDescent="0.3">
      <c r="A57" s="245"/>
      <c r="B57" s="246" t="s">
        <v>27</v>
      </c>
      <c r="C57" s="247">
        <v>-594222.06001122063</v>
      </c>
      <c r="D57" s="233">
        <v>-427211.30882725446</v>
      </c>
      <c r="E57" s="233">
        <v>-404918.84532129869</v>
      </c>
      <c r="F57" s="233">
        <v>-507427.63242655568</v>
      </c>
      <c r="G57" s="233">
        <v>-592942.98423628835</v>
      </c>
      <c r="H57" s="233">
        <v>-745518.45167459326</v>
      </c>
      <c r="I57" s="233">
        <v>-758126.48431320686</v>
      </c>
      <c r="J57" s="233">
        <v>-758491.93453461712</v>
      </c>
      <c r="K57" s="233">
        <v>-705136.20220888604</v>
      </c>
      <c r="L57" s="233">
        <v>-626564.40460592683</v>
      </c>
      <c r="M57" s="233">
        <v>-405649.74576411716</v>
      </c>
      <c r="N57" s="233">
        <v>-469420.80940000789</v>
      </c>
      <c r="O57" s="248">
        <v>-6995630.8633239726</v>
      </c>
    </row>
    <row r="58" spans="1:15" x14ac:dyDescent="0.25">
      <c r="A58" s="245"/>
      <c r="B58" s="246" t="s">
        <v>51</v>
      </c>
      <c r="C58" s="249">
        <v>5536645.1125440523</v>
      </c>
      <c r="D58" s="83">
        <v>3980527.7592644505</v>
      </c>
      <c r="E58" s="83">
        <v>3772818.4407741758</v>
      </c>
      <c r="F58" s="83">
        <v>4727940.7987499489</v>
      </c>
      <c r="G58" s="83">
        <v>5524727.3647618229</v>
      </c>
      <c r="H58" s="83">
        <v>6946344.421641984</v>
      </c>
      <c r="I58" s="83">
        <v>7063819.3640668113</v>
      </c>
      <c r="J58" s="83">
        <v>7067224.4348617345</v>
      </c>
      <c r="K58" s="83">
        <v>6570084.0988030434</v>
      </c>
      <c r="L58" s="83">
        <v>5837993.8778946968</v>
      </c>
      <c r="M58" s="83">
        <v>3779628.5823640209</v>
      </c>
      <c r="N58" s="83">
        <v>4373813.4360780045</v>
      </c>
      <c r="O58" s="250">
        <v>65181567.691804752</v>
      </c>
    </row>
    <row r="59" spans="1:15" x14ac:dyDescent="0.25">
      <c r="A59" s="245"/>
      <c r="B59" s="246" t="s">
        <v>91</v>
      </c>
      <c r="C59" s="249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250">
        <v>0</v>
      </c>
    </row>
    <row r="60" spans="1:15" x14ac:dyDescent="0.25">
      <c r="A60" s="245"/>
      <c r="B60" s="246" t="s">
        <v>93</v>
      </c>
      <c r="C60" s="249">
        <v>0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250">
        <v>0</v>
      </c>
    </row>
    <row r="61" spans="1:15" x14ac:dyDescent="0.25">
      <c r="A61" s="235" t="s">
        <v>22</v>
      </c>
      <c r="B61" s="235" t="s">
        <v>72</v>
      </c>
      <c r="C61" s="242">
        <v>5069104.7079689698</v>
      </c>
      <c r="D61" s="243">
        <v>4003458.0739585538</v>
      </c>
      <c r="E61" s="243">
        <v>3529666.980563995</v>
      </c>
      <c r="F61" s="243">
        <v>3811795.0102876159</v>
      </c>
      <c r="G61" s="243">
        <v>4553914.392821488</v>
      </c>
      <c r="H61" s="243">
        <v>5340499.6061270181</v>
      </c>
      <c r="I61" s="243">
        <v>5381898.8278799402</v>
      </c>
      <c r="J61" s="243">
        <v>5480030.3164794603</v>
      </c>
      <c r="K61" s="243">
        <v>4888174.7758636037</v>
      </c>
      <c r="L61" s="243">
        <v>4282519.4946634397</v>
      </c>
      <c r="M61" s="243">
        <v>3586399.2474105926</v>
      </c>
      <c r="N61" s="243">
        <v>3863927.3636061111</v>
      </c>
      <c r="O61" s="244">
        <v>53791388.797630794</v>
      </c>
    </row>
    <row r="62" spans="1:15" ht="13" x14ac:dyDescent="0.3">
      <c r="A62" s="245"/>
      <c r="B62" s="246" t="s">
        <v>25</v>
      </c>
      <c r="C62" s="247">
        <v>-559477.31603799108</v>
      </c>
      <c r="D62" s="233">
        <v>-441861.84881282365</v>
      </c>
      <c r="E62" s="233">
        <v>-389569.50439184997</v>
      </c>
      <c r="F62" s="233">
        <v>-420707.98780110246</v>
      </c>
      <c r="G62" s="233">
        <v>-502615.73763848562</v>
      </c>
      <c r="H62" s="233">
        <v>-589431.18323058728</v>
      </c>
      <c r="I62" s="233">
        <v>-594000.41720911954</v>
      </c>
      <c r="J62" s="233">
        <v>-604831.1940471204</v>
      </c>
      <c r="K62" s="233">
        <v>-539508.07124292664</v>
      </c>
      <c r="L62" s="233">
        <v>-472661.87044588942</v>
      </c>
      <c r="M62" s="233">
        <v>-395831.04725131905</v>
      </c>
      <c r="N62" s="233">
        <v>-426461.837996291</v>
      </c>
      <c r="O62" s="248">
        <v>-5936958.0161055066</v>
      </c>
    </row>
    <row r="63" spans="1:15" ht="13" x14ac:dyDescent="0.3">
      <c r="A63" s="245"/>
      <c r="B63" s="246" t="s">
        <v>26</v>
      </c>
      <c r="C63" s="247">
        <v>-44611.899951274863</v>
      </c>
      <c r="D63" s="233">
        <v>-35233.415236775152</v>
      </c>
      <c r="E63" s="233">
        <v>-31063.700450040749</v>
      </c>
      <c r="F63" s="233">
        <v>-33546.637410426287</v>
      </c>
      <c r="G63" s="233">
        <v>-40077.8411540491</v>
      </c>
      <c r="H63" s="233">
        <v>-47000.377353384851</v>
      </c>
      <c r="I63" s="233">
        <v>-47364.721363876211</v>
      </c>
      <c r="J63" s="233">
        <v>-48228.351610966834</v>
      </c>
      <c r="K63" s="233">
        <v>-43019.581683201526</v>
      </c>
      <c r="L63" s="233">
        <v>-37689.363751939105</v>
      </c>
      <c r="M63" s="233">
        <v>-31562.986686640015</v>
      </c>
      <c r="N63" s="233">
        <v>-34005.440979193176</v>
      </c>
      <c r="O63" s="248">
        <v>-473404.31763176789</v>
      </c>
    </row>
    <row r="64" spans="1:15" ht="13" x14ac:dyDescent="0.3">
      <c r="A64" s="245"/>
      <c r="B64" s="246" t="s">
        <v>27</v>
      </c>
      <c r="C64" s="247">
        <v>-604089.21598926594</v>
      </c>
      <c r="D64" s="233">
        <v>-477095.26404959883</v>
      </c>
      <c r="E64" s="233">
        <v>-420633.20484189072</v>
      </c>
      <c r="F64" s="233">
        <v>-454254.62521152874</v>
      </c>
      <c r="G64" s="233">
        <v>-542693.57879253477</v>
      </c>
      <c r="H64" s="233">
        <v>-636431.56058397214</v>
      </c>
      <c r="I64" s="233">
        <v>-641365.13857299578</v>
      </c>
      <c r="J64" s="233">
        <v>-653059.54565808724</v>
      </c>
      <c r="K64" s="233">
        <v>-582527.65292612812</v>
      </c>
      <c r="L64" s="233">
        <v>-510351.23419782851</v>
      </c>
      <c r="M64" s="233">
        <v>-427394.03393795906</v>
      </c>
      <c r="N64" s="233">
        <v>-460467.27897548419</v>
      </c>
      <c r="O64" s="248">
        <v>-6410362.3337372746</v>
      </c>
    </row>
    <row r="65" spans="1:15" x14ac:dyDescent="0.25">
      <c r="A65" s="245"/>
      <c r="B65" s="246" t="s">
        <v>51</v>
      </c>
      <c r="C65" s="249">
        <v>5628582.0240069609</v>
      </c>
      <c r="D65" s="83">
        <v>4445319.9227713775</v>
      </c>
      <c r="E65" s="83">
        <v>3919236.4849558449</v>
      </c>
      <c r="F65" s="83">
        <v>4232502.9980887184</v>
      </c>
      <c r="G65" s="83">
        <v>5056530.1304599736</v>
      </c>
      <c r="H65" s="83">
        <v>5929930.7893576054</v>
      </c>
      <c r="I65" s="83">
        <v>5975899.2450890597</v>
      </c>
      <c r="J65" s="83">
        <v>6084861.5105265807</v>
      </c>
      <c r="K65" s="83">
        <v>5427682.8471065303</v>
      </c>
      <c r="L65" s="83">
        <v>4755181.3651093291</v>
      </c>
      <c r="M65" s="83">
        <v>3982230.2946619117</v>
      </c>
      <c r="N65" s="83">
        <v>4290389.2016024021</v>
      </c>
      <c r="O65" s="250">
        <v>59728346.813736297</v>
      </c>
    </row>
    <row r="66" spans="1:15" x14ac:dyDescent="0.25">
      <c r="A66" s="245"/>
      <c r="B66" s="246" t="s">
        <v>91</v>
      </c>
      <c r="C66" s="249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3">
        <v>0</v>
      </c>
      <c r="O66" s="250">
        <v>0</v>
      </c>
    </row>
    <row r="67" spans="1:15" x14ac:dyDescent="0.25">
      <c r="A67" s="245"/>
      <c r="B67" s="246" t="s">
        <v>93</v>
      </c>
      <c r="C67" s="249">
        <v>0</v>
      </c>
      <c r="D67" s="83">
        <v>0</v>
      </c>
      <c r="E67" s="83">
        <v>0</v>
      </c>
      <c r="F67" s="83">
        <v>0</v>
      </c>
      <c r="G67" s="83">
        <v>0</v>
      </c>
      <c r="H67" s="83">
        <v>0</v>
      </c>
      <c r="I67" s="83">
        <v>0</v>
      </c>
      <c r="J67" s="83">
        <v>0</v>
      </c>
      <c r="K67" s="83">
        <v>0</v>
      </c>
      <c r="L67" s="83">
        <v>0</v>
      </c>
      <c r="M67" s="83">
        <v>0</v>
      </c>
      <c r="N67" s="83">
        <v>0</v>
      </c>
      <c r="O67" s="250">
        <v>0</v>
      </c>
    </row>
    <row r="68" spans="1:15" x14ac:dyDescent="0.25">
      <c r="A68" s="235" t="s">
        <v>9</v>
      </c>
      <c r="B68" s="235" t="s">
        <v>72</v>
      </c>
      <c r="C68" s="242">
        <v>114997.83820256282</v>
      </c>
      <c r="D68" s="243">
        <v>82798.443505845236</v>
      </c>
      <c r="E68" s="243">
        <v>75131.920959007708</v>
      </c>
      <c r="F68" s="243">
        <v>65932.093902802691</v>
      </c>
      <c r="G68" s="243">
        <v>76665.225468375211</v>
      </c>
      <c r="H68" s="243">
        <v>90464.96605268275</v>
      </c>
      <c r="I68" s="243">
        <v>91998.270562050267</v>
      </c>
      <c r="J68" s="243">
        <v>85865.052524580242</v>
      </c>
      <c r="K68" s="243">
        <v>84331.748015212739</v>
      </c>
      <c r="L68" s="243">
        <v>78198.529977742728</v>
      </c>
      <c r="M68" s="243">
        <v>61332.180374700176</v>
      </c>
      <c r="N68" s="243">
        <v>78198.529977742728</v>
      </c>
      <c r="O68" s="244">
        <v>985914.79952330526</v>
      </c>
    </row>
    <row r="69" spans="1:15" ht="13" x14ac:dyDescent="0.3">
      <c r="A69" s="245"/>
      <c r="B69" s="246" t="s">
        <v>25</v>
      </c>
      <c r="C69" s="247">
        <v>-12692.316607032466</v>
      </c>
      <c r="D69" s="233">
        <v>-9138.4679570633743</v>
      </c>
      <c r="E69" s="233">
        <v>-8292.3135165945569</v>
      </c>
      <c r="F69" s="233">
        <v>-7276.9281880319468</v>
      </c>
      <c r="G69" s="233">
        <v>-8461.5444046883204</v>
      </c>
      <c r="H69" s="233">
        <v>-9984.6223975322209</v>
      </c>
      <c r="I69" s="233">
        <v>-10153.85328562597</v>
      </c>
      <c r="J69" s="233">
        <v>-9476.9297332509159</v>
      </c>
      <c r="K69" s="233">
        <v>-9307.6988451571378</v>
      </c>
      <c r="L69" s="233">
        <v>-8630.7752927820693</v>
      </c>
      <c r="M69" s="233">
        <v>-6769.235523750649</v>
      </c>
      <c r="N69" s="233">
        <v>-8630.7752927820693</v>
      </c>
      <c r="O69" s="248">
        <v>-108815.46104429169</v>
      </c>
    </row>
    <row r="70" spans="1:15" ht="13" x14ac:dyDescent="0.3">
      <c r="A70" s="245"/>
      <c r="B70" s="246" t="s">
        <v>26</v>
      </c>
      <c r="C70" s="247">
        <v>-1012.0666958093208</v>
      </c>
      <c r="D70" s="233">
        <v>-728.68802098271101</v>
      </c>
      <c r="E70" s="233">
        <v>-661.2169079287562</v>
      </c>
      <c r="F70" s="233">
        <v>-580.25157226401052</v>
      </c>
      <c r="G70" s="233">
        <v>-674.71113053954718</v>
      </c>
      <c r="H70" s="233">
        <v>-796.15913403666559</v>
      </c>
      <c r="I70" s="233">
        <v>-809.65335664745658</v>
      </c>
      <c r="J70" s="233">
        <v>-755.67646620429286</v>
      </c>
      <c r="K70" s="233">
        <v>-742.18224359350188</v>
      </c>
      <c r="L70" s="233">
        <v>-688.20535315033806</v>
      </c>
      <c r="M70" s="233">
        <v>-539.76890443163779</v>
      </c>
      <c r="N70" s="233">
        <v>-688.20535315033806</v>
      </c>
      <c r="O70" s="248">
        <v>-8676.7851387385763</v>
      </c>
    </row>
    <row r="71" spans="1:15" ht="13" x14ac:dyDescent="0.3">
      <c r="A71" s="245"/>
      <c r="B71" s="246" t="s">
        <v>27</v>
      </c>
      <c r="C71" s="247">
        <v>-13704.383302841787</v>
      </c>
      <c r="D71" s="233">
        <v>-9867.1559780460848</v>
      </c>
      <c r="E71" s="233">
        <v>-8953.5304245233128</v>
      </c>
      <c r="F71" s="233">
        <v>-7857.1797602959577</v>
      </c>
      <c r="G71" s="233">
        <v>-9136.2555352278669</v>
      </c>
      <c r="H71" s="233">
        <v>-10780.781531568886</v>
      </c>
      <c r="I71" s="233">
        <v>-10963.506642273427</v>
      </c>
      <c r="J71" s="233">
        <v>-10232.606199455209</v>
      </c>
      <c r="K71" s="233">
        <v>-10049.881088750641</v>
      </c>
      <c r="L71" s="233">
        <v>-9318.9806459324082</v>
      </c>
      <c r="M71" s="233">
        <v>-7309.0044281822866</v>
      </c>
      <c r="N71" s="233">
        <v>-9318.9806459324082</v>
      </c>
      <c r="O71" s="248">
        <v>-117492.24618303028</v>
      </c>
    </row>
    <row r="72" spans="1:15" x14ac:dyDescent="0.25">
      <c r="A72" s="245"/>
      <c r="B72" s="246" t="s">
        <v>51</v>
      </c>
      <c r="C72" s="249">
        <v>127690.15480959529</v>
      </c>
      <c r="D72" s="83">
        <v>91936.911462908611</v>
      </c>
      <c r="E72" s="83">
        <v>83424.234475602265</v>
      </c>
      <c r="F72" s="83">
        <v>73209.022090834638</v>
      </c>
      <c r="G72" s="83">
        <v>85126.769873063531</v>
      </c>
      <c r="H72" s="83">
        <v>100449.58845021497</v>
      </c>
      <c r="I72" s="83">
        <v>102152.12384767624</v>
      </c>
      <c r="J72" s="83">
        <v>95341.982257831158</v>
      </c>
      <c r="K72" s="83">
        <v>93639.446860369877</v>
      </c>
      <c r="L72" s="83">
        <v>86829.305270524797</v>
      </c>
      <c r="M72" s="83">
        <v>68101.415898450825</v>
      </c>
      <c r="N72" s="83">
        <v>86829.305270524797</v>
      </c>
      <c r="O72" s="250">
        <v>1094730.2605675969</v>
      </c>
    </row>
    <row r="73" spans="1:15" x14ac:dyDescent="0.25">
      <c r="A73" s="245"/>
      <c r="B73" s="246" t="s">
        <v>91</v>
      </c>
      <c r="C73" s="249">
        <v>0</v>
      </c>
      <c r="D73" s="83">
        <v>0</v>
      </c>
      <c r="E73" s="83">
        <v>0</v>
      </c>
      <c r="F73" s="83">
        <v>0</v>
      </c>
      <c r="G73" s="83">
        <v>0</v>
      </c>
      <c r="H73" s="83">
        <v>0</v>
      </c>
      <c r="I73" s="83">
        <v>0</v>
      </c>
      <c r="J73" s="83">
        <v>0</v>
      </c>
      <c r="K73" s="83">
        <v>0</v>
      </c>
      <c r="L73" s="83">
        <v>0</v>
      </c>
      <c r="M73" s="83">
        <v>0</v>
      </c>
      <c r="N73" s="83">
        <v>0</v>
      </c>
      <c r="O73" s="250">
        <v>0</v>
      </c>
    </row>
    <row r="74" spans="1:15" x14ac:dyDescent="0.25">
      <c r="A74" s="245"/>
      <c r="B74" s="246" t="s">
        <v>93</v>
      </c>
      <c r="C74" s="249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  <c r="I74" s="83">
        <v>0</v>
      </c>
      <c r="J74" s="83">
        <v>0</v>
      </c>
      <c r="K74" s="83">
        <v>0</v>
      </c>
      <c r="L74" s="83">
        <v>0</v>
      </c>
      <c r="M74" s="83">
        <v>0</v>
      </c>
      <c r="N74" s="83">
        <v>0</v>
      </c>
      <c r="O74" s="250">
        <v>0</v>
      </c>
    </row>
    <row r="75" spans="1:15" x14ac:dyDescent="0.25">
      <c r="A75" s="235" t="s">
        <v>56</v>
      </c>
      <c r="B75" s="235" t="s">
        <v>72</v>
      </c>
      <c r="C75" s="242">
        <v>222329.15385828813</v>
      </c>
      <c r="D75" s="243">
        <v>153330.45093675042</v>
      </c>
      <c r="E75" s="243">
        <v>141064.0148618104</v>
      </c>
      <c r="F75" s="243">
        <v>154863.75544611795</v>
      </c>
      <c r="G75" s="243">
        <v>180929.9321053655</v>
      </c>
      <c r="H75" s="243">
        <v>265261.68012057827</v>
      </c>
      <c r="I75" s="243">
        <v>251461.93953627071</v>
      </c>
      <c r="J75" s="243">
        <v>260661.76659247573</v>
      </c>
      <c r="K75" s="243">
        <v>239195.50346133069</v>
      </c>
      <c r="L75" s="243">
        <v>213129.32680208312</v>
      </c>
      <c r="M75" s="243">
        <v>137997.40584307539</v>
      </c>
      <c r="N75" s="243">
        <v>168663.49603042548</v>
      </c>
      <c r="O75" s="244">
        <v>2388888.425594572</v>
      </c>
    </row>
    <row r="76" spans="1:15" x14ac:dyDescent="0.25">
      <c r="A76" s="245"/>
      <c r="B76" s="246" t="s">
        <v>25</v>
      </c>
      <c r="C76" s="249">
        <v>-24538.478773596114</v>
      </c>
      <c r="D76" s="83">
        <v>-16923.088809376641</v>
      </c>
      <c r="E76" s="83">
        <v>-15569.241704626504</v>
      </c>
      <c r="F76" s="83">
        <v>-17092.319697470375</v>
      </c>
      <c r="G76" s="83">
        <v>-19969.244795064442</v>
      </c>
      <c r="H76" s="83">
        <v>-29276.943640221551</v>
      </c>
      <c r="I76" s="83">
        <v>-27753.86564737765</v>
      </c>
      <c r="J76" s="83">
        <v>-28769.250975940289</v>
      </c>
      <c r="K76" s="83">
        <v>-26400.018542627542</v>
      </c>
      <c r="L76" s="83">
        <v>-23523.093445033504</v>
      </c>
      <c r="M76" s="83">
        <v>-15230.779928438948</v>
      </c>
      <c r="N76" s="83">
        <v>-18615.397690314276</v>
      </c>
      <c r="O76" s="250">
        <v>-263661.72365008784</v>
      </c>
    </row>
    <row r="77" spans="1:15" x14ac:dyDescent="0.25">
      <c r="A77" s="245"/>
      <c r="B77" s="246" t="s">
        <v>26</v>
      </c>
      <c r="C77" s="249">
        <v>-1956.6622785646866</v>
      </c>
      <c r="D77" s="83">
        <v>-1349.4222610790944</v>
      </c>
      <c r="E77" s="83">
        <v>-1241.4684801927667</v>
      </c>
      <c r="F77" s="83">
        <v>-1362.9164836898854</v>
      </c>
      <c r="G77" s="83">
        <v>-1592.3182680733312</v>
      </c>
      <c r="H77" s="83">
        <v>-2334.5005116668331</v>
      </c>
      <c r="I77" s="83">
        <v>-2213.0525081697147</v>
      </c>
      <c r="J77" s="83">
        <v>-2294.0178438344601</v>
      </c>
      <c r="K77" s="83">
        <v>-2105.0987272833872</v>
      </c>
      <c r="L77" s="83">
        <v>-1875.6969428999412</v>
      </c>
      <c r="M77" s="83">
        <v>-1214.480034971185</v>
      </c>
      <c r="N77" s="83">
        <v>-1484.3644871870038</v>
      </c>
      <c r="O77" s="250">
        <v>-21023.998827612289</v>
      </c>
    </row>
    <row r="78" spans="1:15" x14ac:dyDescent="0.25">
      <c r="A78" s="245"/>
      <c r="B78" s="246" t="s">
        <v>27</v>
      </c>
      <c r="C78" s="249">
        <v>-26495.141052160801</v>
      </c>
      <c r="D78" s="83">
        <v>-18272.511070455734</v>
      </c>
      <c r="E78" s="83">
        <v>-16810.710184819269</v>
      </c>
      <c r="F78" s="83">
        <v>-18455.23618116026</v>
      </c>
      <c r="G78" s="83">
        <v>-21561.563063137772</v>
      </c>
      <c r="H78" s="83">
        <v>-31611.444151888383</v>
      </c>
      <c r="I78" s="83">
        <v>-29966.918155547366</v>
      </c>
      <c r="J78" s="83">
        <v>-31063.268819774748</v>
      </c>
      <c r="K78" s="83">
        <v>-28505.11726991093</v>
      </c>
      <c r="L78" s="83">
        <v>-25398.790387933444</v>
      </c>
      <c r="M78" s="83">
        <v>-16445.259963410132</v>
      </c>
      <c r="N78" s="83">
        <v>-20099.762177501281</v>
      </c>
      <c r="O78" s="250">
        <v>-284685.72247770015</v>
      </c>
    </row>
    <row r="79" spans="1:15" x14ac:dyDescent="0.25">
      <c r="A79" s="245"/>
      <c r="B79" s="246" t="s">
        <v>51</v>
      </c>
      <c r="C79" s="249">
        <v>246867.63263188425</v>
      </c>
      <c r="D79" s="83">
        <v>170253.53974612706</v>
      </c>
      <c r="E79" s="83">
        <v>156633.2565664369</v>
      </c>
      <c r="F79" s="83">
        <v>171956.07514358833</v>
      </c>
      <c r="G79" s="83">
        <v>200899.17690042994</v>
      </c>
      <c r="H79" s="83">
        <v>294538.62376079982</v>
      </c>
      <c r="I79" s="83">
        <v>279215.80518364836</v>
      </c>
      <c r="J79" s="83">
        <v>289431.01756841602</v>
      </c>
      <c r="K79" s="83">
        <v>265595.52200395823</v>
      </c>
      <c r="L79" s="83">
        <v>236652.42024711662</v>
      </c>
      <c r="M79" s="83">
        <v>153228.18577151434</v>
      </c>
      <c r="N79" s="83">
        <v>187278.89372073975</v>
      </c>
      <c r="O79" s="250">
        <v>2652550.1492446596</v>
      </c>
    </row>
    <row r="80" spans="1:15" x14ac:dyDescent="0.25">
      <c r="A80" s="245"/>
      <c r="B80" s="246" t="s">
        <v>91</v>
      </c>
      <c r="C80" s="249">
        <v>0</v>
      </c>
      <c r="D80" s="83">
        <v>0</v>
      </c>
      <c r="E80" s="83">
        <v>0</v>
      </c>
      <c r="F80" s="83">
        <v>0</v>
      </c>
      <c r="G80" s="83">
        <v>0</v>
      </c>
      <c r="H80" s="83">
        <v>0</v>
      </c>
      <c r="I80" s="83">
        <v>0</v>
      </c>
      <c r="J80" s="83">
        <v>0</v>
      </c>
      <c r="K80" s="83">
        <v>0</v>
      </c>
      <c r="L80" s="83">
        <v>0</v>
      </c>
      <c r="M80" s="83">
        <v>0</v>
      </c>
      <c r="N80" s="83">
        <v>0</v>
      </c>
      <c r="O80" s="250">
        <v>0</v>
      </c>
    </row>
    <row r="81" spans="1:15" x14ac:dyDescent="0.25">
      <c r="A81" s="245"/>
      <c r="B81" s="246" t="s">
        <v>93</v>
      </c>
      <c r="C81" s="249">
        <v>0</v>
      </c>
      <c r="D81" s="83">
        <v>0</v>
      </c>
      <c r="E81" s="83">
        <v>0</v>
      </c>
      <c r="F81" s="83">
        <v>0</v>
      </c>
      <c r="G81" s="83">
        <v>0</v>
      </c>
      <c r="H81" s="83">
        <v>0</v>
      </c>
      <c r="I81" s="83">
        <v>0</v>
      </c>
      <c r="J81" s="83">
        <v>0</v>
      </c>
      <c r="K81" s="83">
        <v>0</v>
      </c>
      <c r="L81" s="83">
        <v>0</v>
      </c>
      <c r="M81" s="83">
        <v>0</v>
      </c>
      <c r="N81" s="83">
        <v>0</v>
      </c>
      <c r="O81" s="250">
        <v>0</v>
      </c>
    </row>
    <row r="82" spans="1:15" x14ac:dyDescent="0.25">
      <c r="A82" s="235" t="s">
        <v>57</v>
      </c>
      <c r="B82" s="235" t="s">
        <v>72</v>
      </c>
      <c r="C82" s="242">
        <v>13799.740584307539</v>
      </c>
      <c r="D82" s="243">
        <v>12266.436074940035</v>
      </c>
      <c r="E82" s="243">
        <v>15333.045093675044</v>
      </c>
      <c r="F82" s="243">
        <v>10733.13156557253</v>
      </c>
      <c r="G82" s="243">
        <v>15333.045093675044</v>
      </c>
      <c r="H82" s="243">
        <v>15333.045093675044</v>
      </c>
      <c r="I82" s="243">
        <v>18399.654112410051</v>
      </c>
      <c r="J82" s="243">
        <v>18399.654112410051</v>
      </c>
      <c r="K82" s="243">
        <v>16866.349603042549</v>
      </c>
      <c r="L82" s="243">
        <v>15333.045093675044</v>
      </c>
      <c r="M82" s="243">
        <v>15333.045093675044</v>
      </c>
      <c r="N82" s="243">
        <v>15333.045093675044</v>
      </c>
      <c r="O82" s="244">
        <v>182463.23661473306</v>
      </c>
    </row>
    <row r="83" spans="1:15" x14ac:dyDescent="0.25">
      <c r="A83" s="245"/>
      <c r="B83" s="246" t="s">
        <v>25</v>
      </c>
      <c r="C83" s="249">
        <v>-1523.0779928438951</v>
      </c>
      <c r="D83" s="83">
        <v>-1353.8471047501298</v>
      </c>
      <c r="E83" s="83">
        <v>-1692.3088809376623</v>
      </c>
      <c r="F83" s="83">
        <v>-1184.6162166563645</v>
      </c>
      <c r="G83" s="83">
        <v>-1692.3088809376623</v>
      </c>
      <c r="H83" s="83">
        <v>-1692.3088809376623</v>
      </c>
      <c r="I83" s="83">
        <v>-2030.7706571251947</v>
      </c>
      <c r="J83" s="83">
        <v>-2030.7706571251947</v>
      </c>
      <c r="K83" s="83">
        <v>-1861.5397690314276</v>
      </c>
      <c r="L83" s="83">
        <v>-1692.3088809376623</v>
      </c>
      <c r="M83" s="83">
        <v>-1692.3088809376623</v>
      </c>
      <c r="N83" s="83">
        <v>-1692.3088809376623</v>
      </c>
      <c r="O83" s="250">
        <v>-20138.475683158184</v>
      </c>
    </row>
    <row r="84" spans="1:15" x14ac:dyDescent="0.25">
      <c r="A84" s="245"/>
      <c r="B84" s="246" t="s">
        <v>26</v>
      </c>
      <c r="C84" s="249">
        <v>-121.44800349711849</v>
      </c>
      <c r="D84" s="83">
        <v>-107.95378088632755</v>
      </c>
      <c r="E84" s="83">
        <v>-134.94222610790945</v>
      </c>
      <c r="F84" s="83">
        <v>-94.459558275536608</v>
      </c>
      <c r="G84" s="83">
        <v>-134.94222610790945</v>
      </c>
      <c r="H84" s="83">
        <v>-134.94222610790945</v>
      </c>
      <c r="I84" s="83">
        <v>-161.9306713294913</v>
      </c>
      <c r="J84" s="83">
        <v>-161.9306713294913</v>
      </c>
      <c r="K84" s="83">
        <v>-148.43644871870038</v>
      </c>
      <c r="L84" s="83">
        <v>-134.94222610790945</v>
      </c>
      <c r="M84" s="83">
        <v>-134.94222610790945</v>
      </c>
      <c r="N84" s="83">
        <v>-134.94222610790945</v>
      </c>
      <c r="O84" s="250">
        <v>-1605.8124906841222</v>
      </c>
    </row>
    <row r="85" spans="1:15" x14ac:dyDescent="0.25">
      <c r="A85" s="245"/>
      <c r="B85" s="246" t="s">
        <v>27</v>
      </c>
      <c r="C85" s="249">
        <v>-1644.5259963410135</v>
      </c>
      <c r="D85" s="83">
        <v>-1461.8008856364575</v>
      </c>
      <c r="E85" s="83">
        <v>-1827.2511070455716</v>
      </c>
      <c r="F85" s="83">
        <v>-1279.0757749319012</v>
      </c>
      <c r="G85" s="83">
        <v>-1827.2511070455716</v>
      </c>
      <c r="H85" s="83">
        <v>-1827.2511070455716</v>
      </c>
      <c r="I85" s="83">
        <v>-2192.7013284546861</v>
      </c>
      <c r="J85" s="83">
        <v>-2192.7013284546861</v>
      </c>
      <c r="K85" s="83">
        <v>-2009.9762177501279</v>
      </c>
      <c r="L85" s="83">
        <v>-1827.2511070455716</v>
      </c>
      <c r="M85" s="83">
        <v>-1827.2511070455716</v>
      </c>
      <c r="N85" s="83">
        <v>-1827.2511070455716</v>
      </c>
      <c r="O85" s="250">
        <v>-21744.288173842306</v>
      </c>
    </row>
    <row r="86" spans="1:15" x14ac:dyDescent="0.25">
      <c r="A86" s="245"/>
      <c r="B86" s="246" t="s">
        <v>51</v>
      </c>
      <c r="C86" s="249">
        <v>15322.818577151435</v>
      </c>
      <c r="D86" s="83">
        <v>13620.283179690165</v>
      </c>
      <c r="E86" s="83">
        <v>17025.353974612706</v>
      </c>
      <c r="F86" s="83">
        <v>11917.747782228895</v>
      </c>
      <c r="G86" s="83">
        <v>17025.353974612706</v>
      </c>
      <c r="H86" s="83">
        <v>17025.353974612706</v>
      </c>
      <c r="I86" s="83">
        <v>20430.424769535246</v>
      </c>
      <c r="J86" s="83">
        <v>20430.424769535246</v>
      </c>
      <c r="K86" s="83">
        <v>18727.889372073976</v>
      </c>
      <c r="L86" s="83">
        <v>17025.353974612706</v>
      </c>
      <c r="M86" s="83">
        <v>17025.353974612706</v>
      </c>
      <c r="N86" s="83">
        <v>17025.353974612706</v>
      </c>
      <c r="O86" s="250">
        <v>202601.71229789127</v>
      </c>
    </row>
    <row r="87" spans="1:15" x14ac:dyDescent="0.25">
      <c r="A87" s="245"/>
      <c r="B87" s="246" t="s">
        <v>91</v>
      </c>
      <c r="C87" s="249">
        <v>0</v>
      </c>
      <c r="D87" s="83">
        <v>0</v>
      </c>
      <c r="E87" s="83">
        <v>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3">
        <v>0</v>
      </c>
      <c r="N87" s="83">
        <v>0</v>
      </c>
      <c r="O87" s="250">
        <v>0</v>
      </c>
    </row>
    <row r="88" spans="1:15" x14ac:dyDescent="0.25">
      <c r="A88" s="245"/>
      <c r="B88" s="246" t="s">
        <v>93</v>
      </c>
      <c r="C88" s="249">
        <v>0</v>
      </c>
      <c r="D88" s="83">
        <v>0</v>
      </c>
      <c r="E88" s="83">
        <v>0</v>
      </c>
      <c r="F88" s="83">
        <v>0</v>
      </c>
      <c r="G88" s="83">
        <v>0</v>
      </c>
      <c r="H88" s="83">
        <v>0</v>
      </c>
      <c r="I88" s="83">
        <v>0</v>
      </c>
      <c r="J88" s="83">
        <v>0</v>
      </c>
      <c r="K88" s="83">
        <v>0</v>
      </c>
      <c r="L88" s="83">
        <v>0</v>
      </c>
      <c r="M88" s="83">
        <v>0</v>
      </c>
      <c r="N88" s="83">
        <v>0</v>
      </c>
      <c r="O88" s="250">
        <v>0</v>
      </c>
    </row>
    <row r="89" spans="1:15" x14ac:dyDescent="0.25">
      <c r="A89" s="235" t="s">
        <v>58</v>
      </c>
      <c r="B89" s="235" t="s">
        <v>72</v>
      </c>
      <c r="C89" s="242">
        <v>39865.917243555115</v>
      </c>
      <c r="D89" s="243">
        <v>29132.785677982582</v>
      </c>
      <c r="E89" s="243">
        <v>27599.481168615079</v>
      </c>
      <c r="F89" s="243">
        <v>33732.699206085097</v>
      </c>
      <c r="G89" s="243">
        <v>47532.439790392636</v>
      </c>
      <c r="H89" s="243">
        <v>55198.962337230158</v>
      </c>
      <c r="I89" s="243">
        <v>58265.571355965163</v>
      </c>
      <c r="J89" s="243">
        <v>62865.484884067679</v>
      </c>
      <c r="K89" s="243">
        <v>44465.830771657624</v>
      </c>
      <c r="L89" s="243">
        <v>39865.917243555115</v>
      </c>
      <c r="M89" s="243">
        <v>33732.699206085097</v>
      </c>
      <c r="N89" s="243">
        <v>27599.481168615079</v>
      </c>
      <c r="O89" s="244">
        <v>499857.27005380648</v>
      </c>
    </row>
    <row r="90" spans="1:15" x14ac:dyDescent="0.25">
      <c r="A90" s="245"/>
      <c r="B90" s="246" t="s">
        <v>25</v>
      </c>
      <c r="C90" s="249">
        <v>-4400.0030904379164</v>
      </c>
      <c r="D90" s="83">
        <v>-3215.386873781561</v>
      </c>
      <c r="E90" s="83">
        <v>-3046.1559856877902</v>
      </c>
      <c r="F90" s="83">
        <v>-3723.0795380628551</v>
      </c>
      <c r="G90" s="83">
        <v>-5246.1575309067484</v>
      </c>
      <c r="H90" s="83">
        <v>-6092.3119713755805</v>
      </c>
      <c r="I90" s="83">
        <v>-6430.773747563122</v>
      </c>
      <c r="J90" s="83">
        <v>-6938.4664118444125</v>
      </c>
      <c r="K90" s="83">
        <v>-4907.6957547192214</v>
      </c>
      <c r="L90" s="83">
        <v>-4400.0030904379164</v>
      </c>
      <c r="M90" s="83">
        <v>-3723.0795380628551</v>
      </c>
      <c r="N90" s="83">
        <v>-3046.1559856877902</v>
      </c>
      <c r="O90" s="250">
        <v>-55169.269518567773</v>
      </c>
    </row>
    <row r="91" spans="1:15" x14ac:dyDescent="0.25">
      <c r="A91" s="245"/>
      <c r="B91" s="246" t="s">
        <v>26</v>
      </c>
      <c r="C91" s="249">
        <v>-350.84978788056452</v>
      </c>
      <c r="D91" s="83">
        <v>-256.39022960502791</v>
      </c>
      <c r="E91" s="83">
        <v>-242.89600699423698</v>
      </c>
      <c r="F91" s="83">
        <v>-296.87289743740075</v>
      </c>
      <c r="G91" s="83">
        <v>-418.32090093451922</v>
      </c>
      <c r="H91" s="83">
        <v>-485.79201398847397</v>
      </c>
      <c r="I91" s="83">
        <v>-512.78045921005582</v>
      </c>
      <c r="J91" s="83">
        <v>-553.26312704242866</v>
      </c>
      <c r="K91" s="83">
        <v>-391.3324557129373</v>
      </c>
      <c r="L91" s="83">
        <v>-350.84978788056452</v>
      </c>
      <c r="M91" s="83">
        <v>-296.87289743740075</v>
      </c>
      <c r="N91" s="83">
        <v>-242.89600699423698</v>
      </c>
      <c r="O91" s="250">
        <v>-4399.1165711178473</v>
      </c>
    </row>
    <row r="92" spans="1:15" x14ac:dyDescent="0.25">
      <c r="A92" s="245"/>
      <c r="B92" s="246" t="s">
        <v>27</v>
      </c>
      <c r="C92" s="249">
        <v>-4750.8528783184811</v>
      </c>
      <c r="D92" s="83">
        <v>-3471.7771033865888</v>
      </c>
      <c r="E92" s="83">
        <v>-3289.051992682027</v>
      </c>
      <c r="F92" s="83">
        <v>-4019.9524355002559</v>
      </c>
      <c r="G92" s="83">
        <v>-5664.4784318412676</v>
      </c>
      <c r="H92" s="83">
        <v>-6578.1039853640541</v>
      </c>
      <c r="I92" s="83">
        <v>-6943.5542067731776</v>
      </c>
      <c r="J92" s="83">
        <v>-7491.7295388868415</v>
      </c>
      <c r="K92" s="83">
        <v>-5299.0282104321586</v>
      </c>
      <c r="L92" s="83">
        <v>-4750.8528783184811</v>
      </c>
      <c r="M92" s="83">
        <v>-4019.9524355002559</v>
      </c>
      <c r="N92" s="83">
        <v>-3289.051992682027</v>
      </c>
      <c r="O92" s="250">
        <v>-59568.38608968562</v>
      </c>
    </row>
    <row r="93" spans="1:15" x14ac:dyDescent="0.25">
      <c r="A93" s="245"/>
      <c r="B93" s="246" t="s">
        <v>51</v>
      </c>
      <c r="C93" s="249">
        <v>44265.920333993032</v>
      </c>
      <c r="D93" s="83">
        <v>32348.172551764143</v>
      </c>
      <c r="E93" s="83">
        <v>30645.637154302869</v>
      </c>
      <c r="F93" s="83">
        <v>37455.778744147952</v>
      </c>
      <c r="G93" s="83">
        <v>52778.597321299385</v>
      </c>
      <c r="H93" s="83">
        <v>61291.274308605738</v>
      </c>
      <c r="I93" s="83">
        <v>64696.345103528285</v>
      </c>
      <c r="J93" s="83">
        <v>69803.951295912091</v>
      </c>
      <c r="K93" s="83">
        <v>49373.526526376845</v>
      </c>
      <c r="L93" s="83">
        <v>44265.920333993032</v>
      </c>
      <c r="M93" s="83">
        <v>37455.778744147952</v>
      </c>
      <c r="N93" s="83">
        <v>30645.637154302869</v>
      </c>
      <c r="O93" s="250">
        <v>555026.5395723742</v>
      </c>
    </row>
    <row r="94" spans="1:15" x14ac:dyDescent="0.25">
      <c r="A94" s="245"/>
      <c r="B94" s="246" t="s">
        <v>91</v>
      </c>
      <c r="C94" s="249">
        <v>0</v>
      </c>
      <c r="D94" s="83">
        <v>0</v>
      </c>
      <c r="E94" s="83">
        <v>0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3">
        <v>0</v>
      </c>
      <c r="N94" s="83">
        <v>0</v>
      </c>
      <c r="O94" s="250">
        <v>0</v>
      </c>
    </row>
    <row r="95" spans="1:15" x14ac:dyDescent="0.25">
      <c r="A95" s="245"/>
      <c r="B95" s="246" t="s">
        <v>93</v>
      </c>
      <c r="C95" s="249">
        <v>0</v>
      </c>
      <c r="D95" s="83">
        <v>0</v>
      </c>
      <c r="E95" s="83">
        <v>0</v>
      </c>
      <c r="F95" s="83">
        <v>0</v>
      </c>
      <c r="G95" s="83">
        <v>0</v>
      </c>
      <c r="H95" s="83">
        <v>0</v>
      </c>
      <c r="I95" s="83">
        <v>0</v>
      </c>
      <c r="J95" s="83">
        <v>0</v>
      </c>
      <c r="K95" s="83">
        <v>0</v>
      </c>
      <c r="L95" s="83">
        <v>0</v>
      </c>
      <c r="M95" s="83">
        <v>0</v>
      </c>
      <c r="N95" s="83">
        <v>0</v>
      </c>
      <c r="O95" s="250">
        <v>0</v>
      </c>
    </row>
    <row r="96" spans="1:15" x14ac:dyDescent="0.25">
      <c r="A96" s="235" t="s">
        <v>59</v>
      </c>
      <c r="B96" s="235" t="s">
        <v>72</v>
      </c>
      <c r="C96" s="242">
        <v>52132.353318495145</v>
      </c>
      <c r="D96" s="243">
        <v>49065.744299760139</v>
      </c>
      <c r="E96" s="243">
        <v>49065.744299760139</v>
      </c>
      <c r="F96" s="243">
        <v>50599.048809127642</v>
      </c>
      <c r="G96" s="243">
        <v>61332.180374700176</v>
      </c>
      <c r="H96" s="243">
        <v>72065.311940272702</v>
      </c>
      <c r="I96" s="243">
        <v>72065.311940272702</v>
      </c>
      <c r="J96" s="243">
        <v>78198.529977742728</v>
      </c>
      <c r="K96" s="243">
        <v>65932.093902802691</v>
      </c>
      <c r="L96" s="243">
        <v>56732.26684659766</v>
      </c>
      <c r="M96" s="243">
        <v>52132.353318495145</v>
      </c>
      <c r="N96" s="243">
        <v>49065.744299760139</v>
      </c>
      <c r="O96" s="244">
        <v>708386.68332778686</v>
      </c>
    </row>
    <row r="97" spans="1:15" x14ac:dyDescent="0.25">
      <c r="A97" s="245"/>
      <c r="B97" s="246" t="s">
        <v>25</v>
      </c>
      <c r="C97" s="249">
        <v>-5753.8501951880535</v>
      </c>
      <c r="D97" s="83">
        <v>-5415.3884190005192</v>
      </c>
      <c r="E97" s="83">
        <v>-5415.3884190005192</v>
      </c>
      <c r="F97" s="83">
        <v>-5584.61930709429</v>
      </c>
      <c r="G97" s="83">
        <v>-6769.235523750649</v>
      </c>
      <c r="H97" s="83">
        <v>-7953.8517404070153</v>
      </c>
      <c r="I97" s="83">
        <v>-7953.8517404070153</v>
      </c>
      <c r="J97" s="83">
        <v>-8630.7752927820693</v>
      </c>
      <c r="K97" s="83">
        <v>-7276.9281880319468</v>
      </c>
      <c r="L97" s="83">
        <v>-6261.5428594693512</v>
      </c>
      <c r="M97" s="83">
        <v>-5753.8501951880535</v>
      </c>
      <c r="N97" s="83">
        <v>-5415.3884190005192</v>
      </c>
      <c r="O97" s="250">
        <v>-78184.670299319987</v>
      </c>
    </row>
    <row r="98" spans="1:15" x14ac:dyDescent="0.25">
      <c r="A98" s="245"/>
      <c r="B98" s="246" t="s">
        <v>26</v>
      </c>
      <c r="C98" s="249">
        <v>-458.80356876689206</v>
      </c>
      <c r="D98" s="83">
        <v>-431.8151235453102</v>
      </c>
      <c r="E98" s="83">
        <v>-431.8151235453102</v>
      </c>
      <c r="F98" s="83">
        <v>-445.30934615610107</v>
      </c>
      <c r="G98" s="83">
        <v>-539.76890443163779</v>
      </c>
      <c r="H98" s="83">
        <v>-634.22846270717434</v>
      </c>
      <c r="I98" s="83">
        <v>-634.22846270717434</v>
      </c>
      <c r="J98" s="83">
        <v>-688.20535315033806</v>
      </c>
      <c r="K98" s="83">
        <v>-580.25157226401052</v>
      </c>
      <c r="L98" s="83">
        <v>-499.2862365992649</v>
      </c>
      <c r="M98" s="83">
        <v>-458.80356876689206</v>
      </c>
      <c r="N98" s="83">
        <v>-431.8151235453102</v>
      </c>
      <c r="O98" s="250">
        <v>-6234.3308461854167</v>
      </c>
    </row>
    <row r="99" spans="1:15" x14ac:dyDescent="0.25">
      <c r="A99" s="245"/>
      <c r="B99" s="246" t="s">
        <v>27</v>
      </c>
      <c r="C99" s="249">
        <v>-6212.6537639549451</v>
      </c>
      <c r="D99" s="83">
        <v>-5847.2035425458298</v>
      </c>
      <c r="E99" s="83">
        <v>-5847.2035425458298</v>
      </c>
      <c r="F99" s="83">
        <v>-6029.9286532503911</v>
      </c>
      <c r="G99" s="83">
        <v>-7309.0044281822866</v>
      </c>
      <c r="H99" s="83">
        <v>-8588.0802031141902</v>
      </c>
      <c r="I99" s="83">
        <v>-8588.0802031141902</v>
      </c>
      <c r="J99" s="83">
        <v>-9318.9806459324082</v>
      </c>
      <c r="K99" s="83">
        <v>-7857.1797602959577</v>
      </c>
      <c r="L99" s="83">
        <v>-6760.8290960686163</v>
      </c>
      <c r="M99" s="83">
        <v>-6212.6537639549451</v>
      </c>
      <c r="N99" s="83">
        <v>-5847.2035425458298</v>
      </c>
      <c r="O99" s="250">
        <v>-84419.001145505434</v>
      </c>
    </row>
    <row r="100" spans="1:15" x14ac:dyDescent="0.25">
      <c r="A100" s="245"/>
      <c r="B100" s="246" t="s">
        <v>51</v>
      </c>
      <c r="C100" s="249">
        <v>57886.203513683198</v>
      </c>
      <c r="D100" s="83">
        <v>54481.132718760658</v>
      </c>
      <c r="E100" s="83">
        <v>54481.132718760658</v>
      </c>
      <c r="F100" s="83">
        <v>56183.668116221932</v>
      </c>
      <c r="G100" s="83">
        <v>68101.415898450825</v>
      </c>
      <c r="H100" s="83">
        <v>80019.163680679718</v>
      </c>
      <c r="I100" s="83">
        <v>80019.163680679718</v>
      </c>
      <c r="J100" s="83">
        <v>86829.305270524797</v>
      </c>
      <c r="K100" s="83">
        <v>73209.022090834638</v>
      </c>
      <c r="L100" s="83">
        <v>62993.809706067012</v>
      </c>
      <c r="M100" s="83">
        <v>57886.203513683198</v>
      </c>
      <c r="N100" s="83">
        <v>54481.132718760658</v>
      </c>
      <c r="O100" s="250">
        <v>786571.35362710699</v>
      </c>
    </row>
    <row r="101" spans="1:15" x14ac:dyDescent="0.25">
      <c r="A101" s="245"/>
      <c r="B101" s="246" t="s">
        <v>91</v>
      </c>
      <c r="C101" s="249">
        <v>0</v>
      </c>
      <c r="D101" s="83">
        <v>0</v>
      </c>
      <c r="E101" s="83">
        <v>0</v>
      </c>
      <c r="F101" s="83">
        <v>0</v>
      </c>
      <c r="G101" s="83">
        <v>0</v>
      </c>
      <c r="H101" s="83">
        <v>0</v>
      </c>
      <c r="I101" s="83">
        <v>0</v>
      </c>
      <c r="J101" s="83">
        <v>0</v>
      </c>
      <c r="K101" s="83">
        <v>0</v>
      </c>
      <c r="L101" s="83">
        <v>0</v>
      </c>
      <c r="M101" s="83">
        <v>0</v>
      </c>
      <c r="N101" s="83">
        <v>0</v>
      </c>
      <c r="O101" s="250">
        <v>0</v>
      </c>
    </row>
    <row r="102" spans="1:15" x14ac:dyDescent="0.25">
      <c r="A102" s="245"/>
      <c r="B102" s="246" t="s">
        <v>93</v>
      </c>
      <c r="C102" s="249">
        <v>0</v>
      </c>
      <c r="D102" s="83">
        <v>0</v>
      </c>
      <c r="E102" s="83">
        <v>0</v>
      </c>
      <c r="F102" s="83">
        <v>0</v>
      </c>
      <c r="G102" s="83">
        <v>0</v>
      </c>
      <c r="H102" s="83">
        <v>0</v>
      </c>
      <c r="I102" s="83">
        <v>0</v>
      </c>
      <c r="J102" s="83">
        <v>0</v>
      </c>
      <c r="K102" s="83">
        <v>0</v>
      </c>
      <c r="L102" s="83">
        <v>0</v>
      </c>
      <c r="M102" s="83">
        <v>0</v>
      </c>
      <c r="N102" s="83">
        <v>0</v>
      </c>
      <c r="O102" s="250">
        <v>0</v>
      </c>
    </row>
    <row r="103" spans="1:15" x14ac:dyDescent="0.25">
      <c r="A103" s="235" t="s">
        <v>83</v>
      </c>
      <c r="B103" s="235" t="s">
        <v>72</v>
      </c>
      <c r="C103" s="242">
        <v>331193.77402338095</v>
      </c>
      <c r="D103" s="243">
        <v>223862.45836765564</v>
      </c>
      <c r="E103" s="243">
        <v>173263.40955852799</v>
      </c>
      <c r="F103" s="243">
        <v>116531.14271193033</v>
      </c>
      <c r="G103" s="243">
        <v>183996.54112410053</v>
      </c>
      <c r="H103" s="243">
        <v>225395.76287702314</v>
      </c>
      <c r="I103" s="243">
        <v>237662.19895196316</v>
      </c>
      <c r="J103" s="243">
        <v>240728.8079706982</v>
      </c>
      <c r="K103" s="243">
        <v>193196.36818030555</v>
      </c>
      <c r="L103" s="243">
        <v>171730.10504916048</v>
      </c>
      <c r="M103" s="243">
        <v>142597.3193711779</v>
      </c>
      <c r="N103" s="243">
        <v>196262.97719904056</v>
      </c>
      <c r="O103" s="244">
        <v>2436420.8653849638</v>
      </c>
    </row>
    <row r="104" spans="1:15" x14ac:dyDescent="0.25">
      <c r="A104" s="245"/>
      <c r="B104" s="246" t="s">
        <v>25</v>
      </c>
      <c r="C104" s="249">
        <v>-36553.871828253497</v>
      </c>
      <c r="D104" s="83">
        <v>-24707.709661689878</v>
      </c>
      <c r="E104" s="83">
        <v>-19123.090354595595</v>
      </c>
      <c r="F104" s="83">
        <v>-12861.547495126244</v>
      </c>
      <c r="G104" s="83">
        <v>-20307.70657125194</v>
      </c>
      <c r="H104" s="83">
        <v>-24876.940549783641</v>
      </c>
      <c r="I104" s="83">
        <v>-26230.787654533808</v>
      </c>
      <c r="J104" s="83">
        <v>-26569.249430721306</v>
      </c>
      <c r="K104" s="83">
        <v>-21323.09189981455</v>
      </c>
      <c r="L104" s="83">
        <v>-18953.859466501832</v>
      </c>
      <c r="M104" s="83">
        <v>-15738.472592720267</v>
      </c>
      <c r="N104" s="83">
        <v>-21661.553676002077</v>
      </c>
      <c r="O104" s="250">
        <v>-268907.88118099468</v>
      </c>
    </row>
    <row r="105" spans="1:15" x14ac:dyDescent="0.25">
      <c r="A105" s="245"/>
      <c r="B105" s="246" t="s">
        <v>26</v>
      </c>
      <c r="C105" s="249">
        <v>-2914.752083930844</v>
      </c>
      <c r="D105" s="83">
        <v>-1970.1565011754776</v>
      </c>
      <c r="E105" s="83">
        <v>-1524.8471550193765</v>
      </c>
      <c r="F105" s="83">
        <v>-1025.5609184201116</v>
      </c>
      <c r="G105" s="83">
        <v>-1619.3067132949132</v>
      </c>
      <c r="H105" s="83">
        <v>-1983.6507237862686</v>
      </c>
      <c r="I105" s="83">
        <v>-2091.6045046725962</v>
      </c>
      <c r="J105" s="83">
        <v>-2118.5929498941778</v>
      </c>
      <c r="K105" s="83">
        <v>-1700.2720489596588</v>
      </c>
      <c r="L105" s="83">
        <v>-1511.3529324085857</v>
      </c>
      <c r="M105" s="83">
        <v>-1254.9627028035577</v>
      </c>
      <c r="N105" s="83">
        <v>-1727.2604941812408</v>
      </c>
      <c r="O105" s="250">
        <v>-21442.319728546809</v>
      </c>
    </row>
    <row r="106" spans="1:15" x14ac:dyDescent="0.25">
      <c r="A106" s="245"/>
      <c r="B106" s="246" t="s">
        <v>27</v>
      </c>
      <c r="C106" s="249">
        <v>-39468.623912184339</v>
      </c>
      <c r="D106" s="83">
        <v>-26677.866162865357</v>
      </c>
      <c r="E106" s="83">
        <v>-20647.937509614971</v>
      </c>
      <c r="F106" s="83">
        <v>-13887.108413546355</v>
      </c>
      <c r="G106" s="83">
        <v>-21927.013284546854</v>
      </c>
      <c r="H106" s="83">
        <v>-26860.591273569909</v>
      </c>
      <c r="I106" s="83">
        <v>-28322.392159206403</v>
      </c>
      <c r="J106" s="83">
        <v>-28687.842380615482</v>
      </c>
      <c r="K106" s="83">
        <v>-23023.363948774208</v>
      </c>
      <c r="L106" s="83">
        <v>-20465.212398910418</v>
      </c>
      <c r="M106" s="83">
        <v>-16993.435295523825</v>
      </c>
      <c r="N106" s="83">
        <v>-23388.814170183319</v>
      </c>
      <c r="O106" s="250">
        <v>-290350.20090954145</v>
      </c>
    </row>
    <row r="107" spans="1:15" x14ac:dyDescent="0.25">
      <c r="A107" s="245"/>
      <c r="B107" s="246" t="s">
        <v>51</v>
      </c>
      <c r="C107" s="249">
        <v>367747.64585163444</v>
      </c>
      <c r="D107" s="83">
        <v>248570.16802934551</v>
      </c>
      <c r="E107" s="83">
        <v>192386.49991312358</v>
      </c>
      <c r="F107" s="83">
        <v>129392.69020705657</v>
      </c>
      <c r="G107" s="83">
        <v>204304.24769535247</v>
      </c>
      <c r="H107" s="83">
        <v>250272.70342680678</v>
      </c>
      <c r="I107" s="83">
        <v>263892.98660649697</v>
      </c>
      <c r="J107" s="83">
        <v>267298.0574014195</v>
      </c>
      <c r="K107" s="83">
        <v>214519.4600801201</v>
      </c>
      <c r="L107" s="83">
        <v>190683.96451566232</v>
      </c>
      <c r="M107" s="83">
        <v>158335.79196389817</v>
      </c>
      <c r="N107" s="83">
        <v>217924.53087504263</v>
      </c>
      <c r="O107" s="250">
        <v>2705328.746565959</v>
      </c>
    </row>
    <row r="108" spans="1:15" x14ac:dyDescent="0.25">
      <c r="A108" s="245"/>
      <c r="B108" s="246" t="s">
        <v>91</v>
      </c>
      <c r="C108" s="249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0</v>
      </c>
      <c r="I108" s="83">
        <v>0</v>
      </c>
      <c r="J108" s="83">
        <v>0</v>
      </c>
      <c r="K108" s="83">
        <v>0</v>
      </c>
      <c r="L108" s="83">
        <v>0</v>
      </c>
      <c r="M108" s="83">
        <v>0</v>
      </c>
      <c r="N108" s="83">
        <v>0</v>
      </c>
      <c r="O108" s="250">
        <v>0</v>
      </c>
    </row>
    <row r="109" spans="1:15" x14ac:dyDescent="0.25">
      <c r="A109" s="245"/>
      <c r="B109" s="246" t="s">
        <v>93</v>
      </c>
      <c r="C109" s="249">
        <v>0</v>
      </c>
      <c r="D109" s="83">
        <v>0</v>
      </c>
      <c r="E109" s="83">
        <v>0</v>
      </c>
      <c r="F109" s="83">
        <v>0</v>
      </c>
      <c r="G109" s="83">
        <v>0</v>
      </c>
      <c r="H109" s="83">
        <v>0</v>
      </c>
      <c r="I109" s="83">
        <v>0</v>
      </c>
      <c r="J109" s="83">
        <v>0</v>
      </c>
      <c r="K109" s="83">
        <v>0</v>
      </c>
      <c r="L109" s="83">
        <v>0</v>
      </c>
      <c r="M109" s="83">
        <v>0</v>
      </c>
      <c r="N109" s="83">
        <v>0</v>
      </c>
      <c r="O109" s="250">
        <v>0</v>
      </c>
    </row>
    <row r="110" spans="1:15" x14ac:dyDescent="0.25">
      <c r="A110" s="235" t="s">
        <v>87</v>
      </c>
      <c r="B110" s="235" t="s">
        <v>72</v>
      </c>
      <c r="C110" s="242">
        <v>88931.661543315247</v>
      </c>
      <c r="D110" s="243">
        <v>55198.962337230158</v>
      </c>
      <c r="E110" s="243">
        <v>44465.830771657624</v>
      </c>
      <c r="F110" s="243">
        <v>41399.221752922618</v>
      </c>
      <c r="G110" s="243">
        <v>55198.962337230158</v>
      </c>
      <c r="H110" s="243">
        <v>81265.138996477734</v>
      </c>
      <c r="I110" s="243">
        <v>81265.138996477734</v>
      </c>
      <c r="J110" s="243">
        <v>82798.443505845236</v>
      </c>
      <c r="K110" s="243">
        <v>73598.616449640205</v>
      </c>
      <c r="L110" s="243">
        <v>62865.484884067679</v>
      </c>
      <c r="M110" s="243">
        <v>33732.699206085097</v>
      </c>
      <c r="N110" s="243">
        <v>56732.26684659766</v>
      </c>
      <c r="O110" s="244">
        <v>757452.42762754718</v>
      </c>
    </row>
    <row r="111" spans="1:15" x14ac:dyDescent="0.25">
      <c r="A111" s="245"/>
      <c r="B111" s="246" t="s">
        <v>25</v>
      </c>
      <c r="C111" s="249">
        <v>-9815.3915094384429</v>
      </c>
      <c r="D111" s="83">
        <v>-6092.3119713755805</v>
      </c>
      <c r="E111" s="83">
        <v>-4907.6957547192214</v>
      </c>
      <c r="F111" s="83">
        <v>-4569.2339785316872</v>
      </c>
      <c r="G111" s="83">
        <v>-6092.3119713755805</v>
      </c>
      <c r="H111" s="83">
        <v>-8969.2370689696108</v>
      </c>
      <c r="I111" s="83">
        <v>-8969.2370689696108</v>
      </c>
      <c r="J111" s="83">
        <v>-9138.4679570633743</v>
      </c>
      <c r="K111" s="83">
        <v>-8123.0826285007788</v>
      </c>
      <c r="L111" s="83">
        <v>-6938.4664118444125</v>
      </c>
      <c r="M111" s="83">
        <v>-3723.0795380628551</v>
      </c>
      <c r="N111" s="83">
        <v>-6261.5428594693512</v>
      </c>
      <c r="O111" s="250">
        <v>-83600.058718320521</v>
      </c>
    </row>
    <row r="112" spans="1:15" x14ac:dyDescent="0.25">
      <c r="A112" s="245"/>
      <c r="B112" s="246" t="s">
        <v>26</v>
      </c>
      <c r="C112" s="249">
        <v>-782.66491142587461</v>
      </c>
      <c r="D112" s="83">
        <v>-485.79201398847397</v>
      </c>
      <c r="E112" s="83">
        <v>-391.3324557129373</v>
      </c>
      <c r="F112" s="83">
        <v>-364.3440104913555</v>
      </c>
      <c r="G112" s="83">
        <v>-485.79201398847397</v>
      </c>
      <c r="H112" s="83">
        <v>-715.19379837192002</v>
      </c>
      <c r="I112" s="83">
        <v>-715.19379837192002</v>
      </c>
      <c r="J112" s="83">
        <v>-728.68802098271101</v>
      </c>
      <c r="K112" s="83">
        <v>-647.72268531796522</v>
      </c>
      <c r="L112" s="83">
        <v>-553.26312704242866</v>
      </c>
      <c r="M112" s="83">
        <v>-296.87289743740075</v>
      </c>
      <c r="N112" s="83">
        <v>-499.2862365992649</v>
      </c>
      <c r="O112" s="250">
        <v>-6666.1459697307264</v>
      </c>
    </row>
    <row r="113" spans="1:15" x14ac:dyDescent="0.25">
      <c r="A113" s="245"/>
      <c r="B113" s="246" t="s">
        <v>27</v>
      </c>
      <c r="C113" s="249">
        <v>-10598.056420864317</v>
      </c>
      <c r="D113" s="83">
        <v>-6578.1039853640541</v>
      </c>
      <c r="E113" s="83">
        <v>-5299.0282104321586</v>
      </c>
      <c r="F113" s="83">
        <v>-4933.5779890230424</v>
      </c>
      <c r="G113" s="83">
        <v>-6578.1039853640541</v>
      </c>
      <c r="H113" s="83">
        <v>-9684.4308673415308</v>
      </c>
      <c r="I113" s="83">
        <v>-9684.4308673415308</v>
      </c>
      <c r="J113" s="83">
        <v>-9867.1559780460848</v>
      </c>
      <c r="K113" s="83">
        <v>-8770.8053138187443</v>
      </c>
      <c r="L113" s="83">
        <v>-7491.7295388868415</v>
      </c>
      <c r="M113" s="83">
        <v>-4019.9524355002559</v>
      </c>
      <c r="N113" s="83">
        <v>-6760.8290960686163</v>
      </c>
      <c r="O113" s="250">
        <v>-90266.204688051206</v>
      </c>
    </row>
    <row r="114" spans="1:15" x14ac:dyDescent="0.25">
      <c r="A114" s="245"/>
      <c r="B114" s="246" t="s">
        <v>51</v>
      </c>
      <c r="C114" s="249">
        <v>98747.05305275369</v>
      </c>
      <c r="D114" s="83">
        <v>61291.274308605738</v>
      </c>
      <c r="E114" s="83">
        <v>49373.526526376845</v>
      </c>
      <c r="F114" s="83">
        <v>45968.455731454305</v>
      </c>
      <c r="G114" s="83">
        <v>61291.274308605738</v>
      </c>
      <c r="H114" s="83">
        <v>90234.376065447344</v>
      </c>
      <c r="I114" s="83">
        <v>90234.376065447344</v>
      </c>
      <c r="J114" s="83">
        <v>91936.911462908611</v>
      </c>
      <c r="K114" s="83">
        <v>81721.699078140984</v>
      </c>
      <c r="L114" s="83">
        <v>69803.951295912091</v>
      </c>
      <c r="M114" s="83">
        <v>37455.778744147952</v>
      </c>
      <c r="N114" s="83">
        <v>62993.809706067012</v>
      </c>
      <c r="O114" s="250">
        <v>841052.48634586774</v>
      </c>
    </row>
    <row r="115" spans="1:15" x14ac:dyDescent="0.25">
      <c r="A115" s="245"/>
      <c r="B115" s="246" t="s">
        <v>91</v>
      </c>
      <c r="C115" s="249">
        <v>0</v>
      </c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3">
        <v>0</v>
      </c>
      <c r="L115" s="83">
        <v>0</v>
      </c>
      <c r="M115" s="83">
        <v>0</v>
      </c>
      <c r="N115" s="83">
        <v>0</v>
      </c>
      <c r="O115" s="250">
        <v>0</v>
      </c>
    </row>
    <row r="116" spans="1:15" x14ac:dyDescent="0.25">
      <c r="A116" s="245"/>
      <c r="B116" s="246" t="s">
        <v>93</v>
      </c>
      <c r="C116" s="249">
        <v>0</v>
      </c>
      <c r="D116" s="83">
        <v>0</v>
      </c>
      <c r="E116" s="83">
        <v>0</v>
      </c>
      <c r="F116" s="83">
        <v>0</v>
      </c>
      <c r="G116" s="83">
        <v>0</v>
      </c>
      <c r="H116" s="83">
        <v>0</v>
      </c>
      <c r="I116" s="83">
        <v>0</v>
      </c>
      <c r="J116" s="83">
        <v>0</v>
      </c>
      <c r="K116" s="83">
        <v>0</v>
      </c>
      <c r="L116" s="83">
        <v>0</v>
      </c>
      <c r="M116" s="83">
        <v>0</v>
      </c>
      <c r="N116" s="83">
        <v>0</v>
      </c>
      <c r="O116" s="250">
        <v>0</v>
      </c>
    </row>
    <row r="117" spans="1:15" x14ac:dyDescent="0.25">
      <c r="A117" s="235" t="s">
        <v>73</v>
      </c>
      <c r="B117" s="236"/>
      <c r="C117" s="242">
        <v>15297779.089959588</v>
      </c>
      <c r="D117" s="243">
        <v>11167056.741723532</v>
      </c>
      <c r="E117" s="243">
        <v>9914346.957570279</v>
      </c>
      <c r="F117" s="243">
        <v>10677932.603235301</v>
      </c>
      <c r="G117" s="243">
        <v>12892024.314761974</v>
      </c>
      <c r="H117" s="243">
        <v>15863568.4539162</v>
      </c>
      <c r="I117" s="243">
        <v>16033765.254455997</v>
      </c>
      <c r="J117" s="243">
        <v>16242294.667729976</v>
      </c>
      <c r="K117" s="243">
        <v>14621591.801328517</v>
      </c>
      <c r="L117" s="243">
        <v>12902757.446327548</v>
      </c>
      <c r="M117" s="243">
        <v>9337824.462048104</v>
      </c>
      <c r="N117" s="243">
        <v>11217655.790532662</v>
      </c>
      <c r="O117" s="244">
        <v>156168597.58358967</v>
      </c>
    </row>
    <row r="118" spans="1:15" ht="13" x14ac:dyDescent="0.3">
      <c r="A118" s="235" t="s">
        <v>28</v>
      </c>
      <c r="B118" s="236"/>
      <c r="C118" s="251">
        <v>-1688416.5705115059</v>
      </c>
      <c r="D118" s="252">
        <v>-1232508.5579868988</v>
      </c>
      <c r="E118" s="252">
        <v>-1094246.9224142928</v>
      </c>
      <c r="F118" s="252">
        <v>-1178523.9046849883</v>
      </c>
      <c r="G118" s="252">
        <v>-1422893.3070923863</v>
      </c>
      <c r="H118" s="252">
        <v>-1750862.768218105</v>
      </c>
      <c r="I118" s="252">
        <v>-1769647.3967965129</v>
      </c>
      <c r="J118" s="252">
        <v>-1792662.7975772659</v>
      </c>
      <c r="K118" s="252">
        <v>-1613785.7488621545</v>
      </c>
      <c r="L118" s="252">
        <v>-1424077.9233090433</v>
      </c>
      <c r="M118" s="252">
        <v>-1030616.1084910363</v>
      </c>
      <c r="N118" s="252">
        <v>-1238093.1772939947</v>
      </c>
      <c r="O118" s="253">
        <v>-17236335.183238186</v>
      </c>
    </row>
    <row r="119" spans="1:15" ht="13" x14ac:dyDescent="0.3">
      <c r="A119" s="235" t="s">
        <v>29</v>
      </c>
      <c r="B119" s="236"/>
      <c r="C119" s="251">
        <v>-134631.85898786123</v>
      </c>
      <c r="D119" s="252">
        <v>-98278.423274390414</v>
      </c>
      <c r="E119" s="252">
        <v>-87253.64340137424</v>
      </c>
      <c r="F119" s="252">
        <v>-93973.766261548139</v>
      </c>
      <c r="G119" s="252">
        <v>-113459.42371153024</v>
      </c>
      <c r="H119" s="252">
        <v>-139611.22713124307</v>
      </c>
      <c r="I119" s="252">
        <v>-141109.08584104088</v>
      </c>
      <c r="J119" s="252">
        <v>-142944.30011610847</v>
      </c>
      <c r="K119" s="252">
        <v>-128680.90681650242</v>
      </c>
      <c r="L119" s="252">
        <v>-113553.8832698058</v>
      </c>
      <c r="M119" s="252">
        <v>-82179.815699716841</v>
      </c>
      <c r="N119" s="252">
        <v>-98723.732620546551</v>
      </c>
      <c r="O119" s="253">
        <v>-1374400.0671316683</v>
      </c>
    </row>
    <row r="120" spans="1:15" ht="13" x14ac:dyDescent="0.3">
      <c r="A120" s="235" t="s">
        <v>30</v>
      </c>
      <c r="B120" s="236"/>
      <c r="C120" s="251">
        <v>-1823048.4294993675</v>
      </c>
      <c r="D120" s="252">
        <v>-1330786.9812612899</v>
      </c>
      <c r="E120" s="252">
        <v>-1181500.5658156674</v>
      </c>
      <c r="F120" s="252">
        <v>-1272497.6709465359</v>
      </c>
      <c r="G120" s="252">
        <v>-1536352.7308039172</v>
      </c>
      <c r="H120" s="252">
        <v>-1890473.9953493481</v>
      </c>
      <c r="I120" s="252">
        <v>-1910756.4826375537</v>
      </c>
      <c r="J120" s="252">
        <v>-1935607.0976933741</v>
      </c>
      <c r="K120" s="252">
        <v>-1742466.6556786571</v>
      </c>
      <c r="L120" s="252">
        <v>-1537631.8065788492</v>
      </c>
      <c r="M120" s="252">
        <v>-1112795.9241907534</v>
      </c>
      <c r="N120" s="252">
        <v>-1336816.9099145413</v>
      </c>
      <c r="O120" s="253">
        <v>-18610735.250369851</v>
      </c>
    </row>
    <row r="121" spans="1:15" x14ac:dyDescent="0.25">
      <c r="A121" s="235" t="s">
        <v>63</v>
      </c>
      <c r="B121" s="236"/>
      <c r="C121" s="242">
        <v>16986195.660471097</v>
      </c>
      <c r="D121" s="243">
        <v>12399565.299710432</v>
      </c>
      <c r="E121" s="243">
        <v>11008593.879984576</v>
      </c>
      <c r="F121" s="243">
        <v>11856456.507920288</v>
      </c>
      <c r="G121" s="243">
        <v>14314917.621854363</v>
      </c>
      <c r="H121" s="243">
        <v>17614431.222134311</v>
      </c>
      <c r="I121" s="243">
        <v>17803412.651252504</v>
      </c>
      <c r="J121" s="243">
        <v>18034957.465307243</v>
      </c>
      <c r="K121" s="243">
        <v>16235377.550190678</v>
      </c>
      <c r="L121" s="243">
        <v>14326835.369636593</v>
      </c>
      <c r="M121" s="243">
        <v>10368440.570539137</v>
      </c>
      <c r="N121" s="243">
        <v>12455748.967826657</v>
      </c>
      <c r="O121" s="244">
        <v>173404932.76682791</v>
      </c>
    </row>
    <row r="122" spans="1:15" x14ac:dyDescent="0.25">
      <c r="A122" s="235" t="s">
        <v>92</v>
      </c>
      <c r="B122" s="236"/>
      <c r="C122" s="242">
        <v>0</v>
      </c>
      <c r="D122" s="243">
        <v>0</v>
      </c>
      <c r="E122" s="243">
        <v>0</v>
      </c>
      <c r="F122" s="243">
        <v>0</v>
      </c>
      <c r="G122" s="243">
        <v>0</v>
      </c>
      <c r="H122" s="243">
        <v>0</v>
      </c>
      <c r="I122" s="243">
        <v>0</v>
      </c>
      <c r="J122" s="243">
        <v>0</v>
      </c>
      <c r="K122" s="243">
        <v>0</v>
      </c>
      <c r="L122" s="243">
        <v>0</v>
      </c>
      <c r="M122" s="243">
        <v>0</v>
      </c>
      <c r="N122" s="243">
        <v>0</v>
      </c>
      <c r="O122" s="244">
        <v>0</v>
      </c>
    </row>
    <row r="123" spans="1:15" x14ac:dyDescent="0.25">
      <c r="A123" s="254" t="s">
        <v>94</v>
      </c>
      <c r="B123" s="255"/>
      <c r="C123" s="256">
        <v>0</v>
      </c>
      <c r="D123" s="257">
        <v>0</v>
      </c>
      <c r="E123" s="257">
        <v>0</v>
      </c>
      <c r="F123" s="257">
        <v>0</v>
      </c>
      <c r="G123" s="257">
        <v>0</v>
      </c>
      <c r="H123" s="257">
        <v>0</v>
      </c>
      <c r="I123" s="257">
        <v>0</v>
      </c>
      <c r="J123" s="257">
        <v>0</v>
      </c>
      <c r="K123" s="257">
        <v>0</v>
      </c>
      <c r="L123" s="257">
        <v>0</v>
      </c>
      <c r="M123" s="257">
        <v>0</v>
      </c>
      <c r="N123" s="257">
        <v>0</v>
      </c>
      <c r="O123" s="258">
        <v>0</v>
      </c>
    </row>
    <row r="125" spans="1:15" x14ac:dyDescent="0.25">
      <c r="L125" s="198"/>
      <c r="O125" s="198"/>
    </row>
    <row r="126" spans="1:15" x14ac:dyDescent="0.25">
      <c r="L126" s="83"/>
      <c r="O126" s="83"/>
    </row>
  </sheetData>
  <phoneticPr fontId="6" type="noConversion"/>
  <pageMargins left="0.5" right="0.5" top="0.73" bottom="0.98" header="0.5" footer="0.5"/>
  <pageSetup scale="52" fitToHeight="0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S220"/>
  <sheetViews>
    <sheetView showGridLines="0" view="pageBreakPreview" topLeftCell="E191" zoomScaleNormal="80" zoomScaleSheetLayoutView="100" workbookViewId="0">
      <selection activeCell="H21" sqref="H21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28" customWidth="1"/>
    <col min="5" max="5" width="24.26953125" style="1" customWidth="1"/>
    <col min="6" max="6" width="7.7265625" style="128" customWidth="1"/>
    <col min="7" max="7" width="8.81640625" style="128" customWidth="1"/>
    <col min="8" max="8" width="11.1796875" style="128" bestFit="1" customWidth="1"/>
    <col min="9" max="9" width="11.26953125" style="129" customWidth="1"/>
    <col min="10" max="10" width="15.81640625" style="128" bestFit="1" customWidth="1"/>
    <col min="11" max="11" width="17.1796875" style="130" bestFit="1" customWidth="1"/>
    <col min="12" max="12" width="18" style="128" customWidth="1"/>
    <col min="13" max="13" width="14.453125" style="94" bestFit="1" customWidth="1"/>
    <col min="14" max="17" width="13.453125" style="94" customWidth="1"/>
    <col min="18" max="18" width="15.54296875" style="196" customWidth="1"/>
    <col min="19" max="16384" width="8.7265625" style="1"/>
  </cols>
  <sheetData>
    <row r="1" spans="2:19" ht="21.5" x14ac:dyDescent="0.3">
      <c r="B1" s="10" t="s">
        <v>98</v>
      </c>
      <c r="C1" s="84"/>
      <c r="D1" s="85"/>
      <c r="E1" s="84"/>
      <c r="F1" s="86" t="s">
        <v>12</v>
      </c>
      <c r="G1" s="87"/>
      <c r="H1" s="88"/>
      <c r="I1" s="89"/>
      <c r="J1" s="214" t="str">
        <f>"True-Up ARR
(CY"&amp;R1&amp;")"</f>
        <v>True-Up ARR
(CY2024)</v>
      </c>
      <c r="K1" s="214" t="str">
        <f>"Projected ARR
(Jan'"&amp;RIGHT(R$1,2)&amp;" - Dec'"&amp;RIGHT(R$1,2)&amp;")"</f>
        <v>Projected ARR
(Jan'24 - Dec'24)</v>
      </c>
      <c r="L1" s="90" t="s">
        <v>47</v>
      </c>
      <c r="M1" s="91"/>
      <c r="N1" s="50"/>
      <c r="O1" s="50"/>
      <c r="P1" s="50"/>
      <c r="Q1" s="50"/>
      <c r="R1" s="92">
        <v>2024</v>
      </c>
      <c r="S1" s="2"/>
    </row>
    <row r="2" spans="2:19" ht="13" x14ac:dyDescent="0.3">
      <c r="B2" s="10" t="s">
        <v>54</v>
      </c>
      <c r="C2" s="84"/>
      <c r="D2" s="85"/>
      <c r="E2" s="84"/>
      <c r="F2" s="93">
        <v>9</v>
      </c>
      <c r="G2" s="260"/>
      <c r="H2" s="260"/>
      <c r="I2" s="95" t="s">
        <v>6</v>
      </c>
      <c r="J2" s="202">
        <v>156168597.5835897</v>
      </c>
      <c r="K2" s="202">
        <v>172829715.360668</v>
      </c>
      <c r="L2" s="208"/>
      <c r="M2" s="97"/>
      <c r="N2" s="50"/>
      <c r="O2" s="50"/>
      <c r="P2" s="50"/>
      <c r="Q2" s="50"/>
      <c r="R2" s="1"/>
    </row>
    <row r="3" spans="2:19" ht="13" x14ac:dyDescent="0.3">
      <c r="B3" s="10" t="str">
        <f>"for CY"&amp;R1&amp;" SPP Network Transmission Service"</f>
        <v>for CY2024 SPP Network Transmission Service</v>
      </c>
      <c r="C3" s="84"/>
      <c r="D3" s="85"/>
      <c r="E3" s="84"/>
      <c r="F3" s="93"/>
      <c r="G3" s="260"/>
      <c r="H3" s="260"/>
      <c r="I3" s="95" t="s">
        <v>10</v>
      </c>
      <c r="J3" s="203">
        <v>1533.3045093675044</v>
      </c>
      <c r="K3" s="203">
        <v>1702.5353974612706</v>
      </c>
      <c r="L3" s="117" t="str">
        <f>"Inv. Jan-Dec'"&amp;RIGHT(R1,2)</f>
        <v>Inv. Jan-Dec'24</v>
      </c>
      <c r="M3" s="97"/>
      <c r="N3" s="50"/>
      <c r="O3" s="50"/>
      <c r="P3" s="50"/>
      <c r="Q3" s="50"/>
      <c r="R3" s="1"/>
    </row>
    <row r="4" spans="2:19" ht="13" x14ac:dyDescent="0.3">
      <c r="B4" s="9"/>
      <c r="C4" s="84"/>
      <c r="D4" s="85"/>
      <c r="E4" s="84"/>
      <c r="F4" s="93"/>
      <c r="G4" s="94"/>
      <c r="H4" s="94"/>
      <c r="I4" s="49"/>
      <c r="J4" s="94"/>
      <c r="K4" s="98"/>
      <c r="L4" s="94"/>
      <c r="M4" s="99"/>
      <c r="R4" s="1"/>
    </row>
    <row r="5" spans="2:19" ht="13" x14ac:dyDescent="0.3">
      <c r="B5" s="9"/>
      <c r="C5" s="84"/>
      <c r="D5" s="85"/>
      <c r="E5" s="84"/>
      <c r="F5" s="93"/>
      <c r="G5" s="94"/>
      <c r="H5" s="94"/>
      <c r="I5" s="95"/>
      <c r="J5" s="94"/>
      <c r="K5" s="202">
        <v>0</v>
      </c>
      <c r="L5" s="96"/>
      <c r="M5" s="100"/>
      <c r="N5" s="101"/>
      <c r="O5" s="101"/>
      <c r="P5" s="101"/>
      <c r="Q5" s="101"/>
      <c r="R5" s="102"/>
    </row>
    <row r="6" spans="2:19" ht="13" x14ac:dyDescent="0.3">
      <c r="B6" s="10" t="s">
        <v>23</v>
      </c>
      <c r="D6" s="85"/>
      <c r="E6" s="84"/>
      <c r="F6" s="103"/>
      <c r="G6" s="104"/>
      <c r="H6" s="105"/>
      <c r="I6" s="106"/>
      <c r="J6" s="107"/>
      <c r="K6" s="203">
        <v>0</v>
      </c>
      <c r="L6" s="197"/>
      <c r="M6" s="100"/>
      <c r="N6" s="101"/>
      <c r="O6" s="101"/>
      <c r="P6" s="101"/>
      <c r="Q6" s="101"/>
      <c r="R6" s="1"/>
    </row>
    <row r="7" spans="2:19" ht="13" x14ac:dyDescent="0.3">
      <c r="B7" s="9" t="s">
        <v>79</v>
      </c>
      <c r="D7" s="85"/>
      <c r="E7" s="84"/>
      <c r="F7" s="93"/>
      <c r="G7" s="261"/>
      <c r="H7" s="260"/>
      <c r="I7" s="95"/>
      <c r="J7" s="108"/>
      <c r="K7" s="96"/>
      <c r="L7" s="96"/>
      <c r="M7" s="109"/>
      <c r="N7" s="110"/>
      <c r="O7" s="110"/>
      <c r="P7" s="110"/>
      <c r="Q7" s="110"/>
      <c r="R7" s="1"/>
    </row>
    <row r="8" spans="2:19" ht="13" x14ac:dyDescent="0.3">
      <c r="B8" s="10"/>
      <c r="C8" s="84"/>
      <c r="D8" s="85"/>
      <c r="E8" s="84"/>
      <c r="F8" s="93"/>
      <c r="G8" s="260"/>
      <c r="H8" s="260"/>
      <c r="I8" s="95"/>
      <c r="J8" s="111"/>
      <c r="K8" s="96"/>
      <c r="L8" s="112"/>
      <c r="M8" s="97"/>
      <c r="N8" s="50"/>
      <c r="O8" s="50"/>
      <c r="P8" s="50"/>
      <c r="Q8" s="50"/>
      <c r="R8" s="102"/>
    </row>
    <row r="9" spans="2:19" ht="13" x14ac:dyDescent="0.3">
      <c r="B9" s="113"/>
      <c r="C9" s="84"/>
      <c r="D9" s="85"/>
      <c r="E9" s="84"/>
      <c r="F9" s="93"/>
      <c r="G9" s="94"/>
      <c r="H9" s="94"/>
      <c r="I9" s="114"/>
      <c r="J9" s="115"/>
      <c r="K9" s="116"/>
      <c r="L9" s="117"/>
      <c r="M9" s="97"/>
      <c r="N9" s="50"/>
      <c r="O9" s="50"/>
      <c r="P9" s="50"/>
      <c r="Q9" s="50"/>
      <c r="R9" s="102"/>
    </row>
    <row r="10" spans="2:19" ht="13.5" thickBot="1" x14ac:dyDescent="0.35">
      <c r="B10" s="9"/>
      <c r="D10" s="1"/>
      <c r="E10" s="118"/>
      <c r="F10" s="119"/>
      <c r="G10" s="120"/>
      <c r="H10" s="121"/>
      <c r="I10" s="122"/>
      <c r="J10" s="123"/>
      <c r="K10" s="123"/>
      <c r="L10" s="124"/>
      <c r="M10" s="125"/>
      <c r="R10" s="126"/>
    </row>
    <row r="11" spans="2:19" ht="13" x14ac:dyDescent="0.3">
      <c r="B11" s="127" t="s">
        <v>84</v>
      </c>
      <c r="E11" s="118"/>
      <c r="L11" s="131"/>
      <c r="M11" s="1"/>
      <c r="N11" s="1"/>
      <c r="O11" s="1"/>
      <c r="P11" s="1"/>
      <c r="Q11" s="1"/>
      <c r="R11" s="102"/>
    </row>
    <row r="12" spans="2:19" x14ac:dyDescent="0.25">
      <c r="E12" s="118"/>
      <c r="L12" s="131"/>
      <c r="R12" s="132" t="s">
        <v>62</v>
      </c>
    </row>
    <row r="13" spans="2:19" ht="13" x14ac:dyDescent="0.3">
      <c r="E13" s="118"/>
      <c r="F13" s="133"/>
      <c r="G13" s="134"/>
      <c r="H13" s="134"/>
      <c r="I13" s="135" t="s">
        <v>60</v>
      </c>
      <c r="J13" s="136">
        <f t="shared" ref="J13:R13" si="0">SUM(J56:J211)</f>
        <v>41238224.779439069</v>
      </c>
      <c r="K13" s="136">
        <f t="shared" si="0"/>
        <v>45789689.514720857</v>
      </c>
      <c r="L13" s="137">
        <f t="shared" si="0"/>
        <v>-4551464.7352818409</v>
      </c>
      <c r="M13" s="138">
        <f t="shared" si="0"/>
        <v>-362927.11711722251</v>
      </c>
      <c r="N13" s="136">
        <f t="shared" si="0"/>
        <v>-4914391.8523990652</v>
      </c>
      <c r="O13" s="136">
        <f>SUM(O56:O211)</f>
        <v>0</v>
      </c>
      <c r="P13" s="136">
        <f t="shared" si="0"/>
        <v>0</v>
      </c>
      <c r="Q13" s="136">
        <v>0</v>
      </c>
      <c r="R13" s="137">
        <f t="shared" si="0"/>
        <v>-4914391.8523990652</v>
      </c>
    </row>
    <row r="14" spans="2:19" ht="13" x14ac:dyDescent="0.3">
      <c r="E14" s="118"/>
      <c r="F14" s="139"/>
      <c r="G14" s="139"/>
      <c r="H14" s="139"/>
      <c r="I14" s="140" t="s">
        <v>61</v>
      </c>
      <c r="J14" s="136">
        <f>SUM(J20:J211)</f>
        <v>156168597.58358964</v>
      </c>
      <c r="K14" s="136">
        <f>SUM(K20:K211)</f>
        <v>173404932.76682767</v>
      </c>
      <c r="L14" s="137">
        <f>SUM(L20:L211)</f>
        <v>-17236335.183238182</v>
      </c>
      <c r="M14" s="204">
        <v>-1374400.0671316683</v>
      </c>
      <c r="N14" s="136">
        <f>SUM(N20:N211)</f>
        <v>-18610735.250369869</v>
      </c>
      <c r="O14" s="136">
        <f>SUM(O20:O211)</f>
        <v>0</v>
      </c>
      <c r="P14" s="136">
        <f>SUM(P20:P211)</f>
        <v>0</v>
      </c>
      <c r="Q14" s="136">
        <v>0</v>
      </c>
      <c r="R14" s="137">
        <f>SUM(R20:R211)</f>
        <v>-18610735.250369869</v>
      </c>
    </row>
    <row r="15" spans="2:19" x14ac:dyDescent="0.25">
      <c r="B15" s="141" t="s">
        <v>86</v>
      </c>
      <c r="E15" s="118"/>
      <c r="J15" s="129"/>
      <c r="L15" s="131"/>
      <c r="M15" s="209"/>
      <c r="N15" s="142"/>
      <c r="O15" s="142"/>
      <c r="P15" s="142"/>
      <c r="Q15" s="142"/>
      <c r="R15" s="143" t="s">
        <v>20</v>
      </c>
    </row>
    <row r="16" spans="2:19" x14ac:dyDescent="0.25">
      <c r="B16" s="144" t="str">
        <f>"** Actual Trued-Up CY"&amp;R1&amp;" Charge reflects "&amp;R1&amp;" True-UP Rate x MW"</f>
        <v>** Actual Trued-Up CY2024 Charge reflects 2024 True-UP Rate x MW</v>
      </c>
      <c r="E16" s="118"/>
      <c r="F16" s="94"/>
      <c r="G16" s="5"/>
      <c r="J16" s="145"/>
      <c r="L16" s="146" t="s">
        <v>11</v>
      </c>
      <c r="M16" s="142"/>
      <c r="N16" s="142"/>
      <c r="O16" s="142"/>
      <c r="P16" s="142"/>
      <c r="Q16" s="142"/>
      <c r="R16" s="147"/>
    </row>
    <row r="17" spans="1:18" x14ac:dyDescent="0.25">
      <c r="B17" s="148" t="s">
        <v>64</v>
      </c>
      <c r="E17" s="118"/>
      <c r="I17" s="149"/>
      <c r="J17" s="150"/>
      <c r="K17" s="151"/>
      <c r="L17" s="151"/>
      <c r="M17" s="151"/>
      <c r="N17" s="151"/>
      <c r="O17" s="151"/>
      <c r="P17" s="151"/>
      <c r="Q17" s="151"/>
      <c r="R17" s="152"/>
    </row>
    <row r="18" spans="1:18" ht="3.65" customHeight="1" x14ac:dyDescent="0.25">
      <c r="I18" s="153"/>
      <c r="J18" s="150"/>
      <c r="K18" s="153"/>
      <c r="L18" s="153"/>
      <c r="M18" s="154"/>
      <c r="N18" s="154"/>
      <c r="O18" s="154"/>
      <c r="P18" s="154"/>
      <c r="Q18" s="154"/>
      <c r="R18" s="155"/>
    </row>
    <row r="19" spans="1:18" ht="38.25" customHeight="1" x14ac:dyDescent="0.25">
      <c r="B19" s="156" t="s">
        <v>55</v>
      </c>
      <c r="C19" s="210" t="s">
        <v>4</v>
      </c>
      <c r="D19" s="210" t="s">
        <v>5</v>
      </c>
      <c r="E19" s="211" t="s">
        <v>0</v>
      </c>
      <c r="F19" s="212" t="s">
        <v>12</v>
      </c>
      <c r="G19" s="213" t="s">
        <v>1</v>
      </c>
      <c r="H19" s="157" t="s">
        <v>50</v>
      </c>
      <c r="I19" s="157" t="s">
        <v>48</v>
      </c>
      <c r="J19" s="158" t="str">
        <f>"True-Up Charge"</f>
        <v>True-Up Charge</v>
      </c>
      <c r="K19" s="158" t="s">
        <v>49</v>
      </c>
      <c r="L19" s="159" t="s">
        <v>3</v>
      </c>
      <c r="M19" s="160" t="s">
        <v>7</v>
      </c>
      <c r="N19" s="161" t="s">
        <v>105</v>
      </c>
      <c r="O19" s="161" t="s">
        <v>88</v>
      </c>
      <c r="P19" s="161" t="s">
        <v>89</v>
      </c>
      <c r="Q19" s="161" t="s">
        <v>90</v>
      </c>
      <c r="R19" s="162" t="s">
        <v>2</v>
      </c>
    </row>
    <row r="20" spans="1:18" s="50" customFormat="1" ht="12.75" customHeight="1" x14ac:dyDescent="0.25">
      <c r="A20" s="94">
        <v>1</v>
      </c>
      <c r="B20" s="163">
        <f>DATE($R$1,A20,1)</f>
        <v>45292</v>
      </c>
      <c r="C20" s="205">
        <v>45327</v>
      </c>
      <c r="D20" s="205">
        <v>45348</v>
      </c>
      <c r="E20" s="164" t="s">
        <v>21</v>
      </c>
      <c r="F20" s="94">
        <v>9</v>
      </c>
      <c r="G20" s="165">
        <v>3252</v>
      </c>
      <c r="H20" s="166">
        <f>+$K$3</f>
        <v>1702.5353974612706</v>
      </c>
      <c r="I20" s="166">
        <f t="shared" ref="I20:I63" si="1">$J$3</f>
        <v>1533.3045093675044</v>
      </c>
      <c r="J20" s="167">
        <f t="shared" ref="J20:J108" si="2">+$G20*I20</f>
        <v>4986306.2644631239</v>
      </c>
      <c r="K20" s="168">
        <f>+$G20*H20</f>
        <v>5536645.1125440523</v>
      </c>
      <c r="L20" s="169">
        <f t="shared" ref="L20:L34" si="3">+J20-K20</f>
        <v>-550338.84808092844</v>
      </c>
      <c r="M20" s="170">
        <f>G20/$G$212*$M$14</f>
        <v>-43883.211930292149</v>
      </c>
      <c r="N20" s="171">
        <f>SUM(L20:M20)</f>
        <v>-594222.06001122063</v>
      </c>
      <c r="O20" s="170">
        <f>+$P$3</f>
        <v>0</v>
      </c>
      <c r="P20" s="170">
        <f>+G20*O20</f>
        <v>0</v>
      </c>
      <c r="Q20" s="170">
        <v>0</v>
      </c>
      <c r="R20" s="171">
        <f>+N20-Q20</f>
        <v>-594222.06001122063</v>
      </c>
    </row>
    <row r="21" spans="1:18" x14ac:dyDescent="0.25">
      <c r="A21" s="128">
        <v>2</v>
      </c>
      <c r="B21" s="163">
        <f t="shared" ref="B21:B108" si="4">DATE($R$1,A21,1)</f>
        <v>45323</v>
      </c>
      <c r="C21" s="205">
        <v>45356</v>
      </c>
      <c r="D21" s="205">
        <v>45376</v>
      </c>
      <c r="E21" s="172" t="s">
        <v>21</v>
      </c>
      <c r="F21" s="128">
        <v>9</v>
      </c>
      <c r="G21" s="165">
        <v>2338</v>
      </c>
      <c r="H21" s="166">
        <f t="shared" ref="H21:H84" si="5">+$K$3</f>
        <v>1702.5353974612706</v>
      </c>
      <c r="I21" s="166">
        <f t="shared" si="1"/>
        <v>1533.3045093675044</v>
      </c>
      <c r="J21" s="167">
        <f t="shared" si="2"/>
        <v>3584865.9429012253</v>
      </c>
      <c r="K21" s="168">
        <f t="shared" ref="K21:K33" si="6">+$G21*H21</f>
        <v>3980527.7592644505</v>
      </c>
      <c r="L21" s="169">
        <f t="shared" si="3"/>
        <v>-395661.81636322523</v>
      </c>
      <c r="M21" s="170">
        <f t="shared" ref="M21:M84" si="7">G21/$G$212*$M$14</f>
        <v>-31549.492464029227</v>
      </c>
      <c r="N21" s="171">
        <f t="shared" ref="N21:N84" si="8">SUM(L21:M21)</f>
        <v>-427211.30882725446</v>
      </c>
      <c r="O21" s="170">
        <f t="shared" ref="O21:O84" si="9">+$P$3</f>
        <v>0</v>
      </c>
      <c r="P21" s="170">
        <f t="shared" ref="P21:P84" si="10">+G21*O21</f>
        <v>0</v>
      </c>
      <c r="Q21" s="170">
        <v>0</v>
      </c>
      <c r="R21" s="171">
        <f t="shared" ref="R21:R84" si="11">+N21-Q21</f>
        <v>-427211.30882725446</v>
      </c>
    </row>
    <row r="22" spans="1:18" x14ac:dyDescent="0.25">
      <c r="A22" s="128">
        <v>3</v>
      </c>
      <c r="B22" s="163">
        <f t="shared" si="4"/>
        <v>45352</v>
      </c>
      <c r="C22" s="205">
        <v>45385</v>
      </c>
      <c r="D22" s="205">
        <v>45406</v>
      </c>
      <c r="E22" s="172" t="s">
        <v>21</v>
      </c>
      <c r="F22" s="128">
        <v>9</v>
      </c>
      <c r="G22" s="165">
        <v>2216</v>
      </c>
      <c r="H22" s="166">
        <f t="shared" si="5"/>
        <v>1702.5353974612706</v>
      </c>
      <c r="I22" s="166">
        <f t="shared" si="1"/>
        <v>1533.3045093675044</v>
      </c>
      <c r="J22" s="167">
        <f t="shared" si="2"/>
        <v>3397802.7927583898</v>
      </c>
      <c r="K22" s="168">
        <f t="shared" si="6"/>
        <v>3772818.4407741758</v>
      </c>
      <c r="L22" s="169">
        <f t="shared" si="3"/>
        <v>-375015.64801578596</v>
      </c>
      <c r="M22" s="170">
        <f t="shared" si="7"/>
        <v>-29903.197305512727</v>
      </c>
      <c r="N22" s="171">
        <f t="shared" si="8"/>
        <v>-404918.84532129869</v>
      </c>
      <c r="O22" s="170">
        <f t="shared" si="9"/>
        <v>0</v>
      </c>
      <c r="P22" s="170">
        <f t="shared" si="10"/>
        <v>0</v>
      </c>
      <c r="Q22" s="170">
        <v>0</v>
      </c>
      <c r="R22" s="171">
        <f t="shared" si="11"/>
        <v>-404918.84532129869</v>
      </c>
    </row>
    <row r="23" spans="1:18" x14ac:dyDescent="0.25">
      <c r="A23" s="94">
        <v>4</v>
      </c>
      <c r="B23" s="163">
        <f t="shared" si="4"/>
        <v>45383</v>
      </c>
      <c r="C23" s="205">
        <v>45415</v>
      </c>
      <c r="D23" s="205">
        <v>45436</v>
      </c>
      <c r="E23" s="172" t="s">
        <v>21</v>
      </c>
      <c r="F23" s="128">
        <v>9</v>
      </c>
      <c r="G23" s="165">
        <v>2777</v>
      </c>
      <c r="H23" s="166">
        <f t="shared" si="5"/>
        <v>1702.5353974612706</v>
      </c>
      <c r="I23" s="166">
        <f t="shared" si="1"/>
        <v>1533.3045093675044</v>
      </c>
      <c r="J23" s="167">
        <f t="shared" si="2"/>
        <v>4257986.6225135596</v>
      </c>
      <c r="K23" s="168">
        <f t="shared" si="6"/>
        <v>4727940.7987499489</v>
      </c>
      <c r="L23" s="169">
        <f t="shared" si="3"/>
        <v>-469954.1762363892</v>
      </c>
      <c r="M23" s="170">
        <f t="shared" si="7"/>
        <v>-37473.456190166449</v>
      </c>
      <c r="N23" s="171">
        <f t="shared" si="8"/>
        <v>-507427.63242655568</v>
      </c>
      <c r="O23" s="170">
        <f t="shared" si="9"/>
        <v>0</v>
      </c>
      <c r="P23" s="170">
        <f t="shared" si="10"/>
        <v>0</v>
      </c>
      <c r="Q23" s="170">
        <v>0</v>
      </c>
      <c r="R23" s="171">
        <f t="shared" si="11"/>
        <v>-507427.63242655568</v>
      </c>
    </row>
    <row r="24" spans="1:18" ht="12" customHeight="1" x14ac:dyDescent="0.25">
      <c r="A24" s="128">
        <v>5</v>
      </c>
      <c r="B24" s="163">
        <f t="shared" si="4"/>
        <v>45413</v>
      </c>
      <c r="C24" s="205">
        <v>45448</v>
      </c>
      <c r="D24" s="205">
        <v>45467</v>
      </c>
      <c r="E24" s="52" t="s">
        <v>21</v>
      </c>
      <c r="F24" s="128">
        <v>9</v>
      </c>
      <c r="G24" s="165">
        <v>3245</v>
      </c>
      <c r="H24" s="166">
        <f t="shared" si="5"/>
        <v>1702.5353974612706</v>
      </c>
      <c r="I24" s="166">
        <f t="shared" si="1"/>
        <v>1533.3045093675044</v>
      </c>
      <c r="J24" s="167">
        <f t="shared" si="2"/>
        <v>4975573.1328975512</v>
      </c>
      <c r="K24" s="168">
        <f t="shared" si="6"/>
        <v>5524727.3647618229</v>
      </c>
      <c r="L24" s="169">
        <f t="shared" si="3"/>
        <v>-549154.23186427169</v>
      </c>
      <c r="M24" s="170">
        <f t="shared" si="7"/>
        <v>-43788.752372016606</v>
      </c>
      <c r="N24" s="171">
        <f t="shared" si="8"/>
        <v>-592942.98423628835</v>
      </c>
      <c r="O24" s="170">
        <f t="shared" si="9"/>
        <v>0</v>
      </c>
      <c r="P24" s="170">
        <f t="shared" si="10"/>
        <v>0</v>
      </c>
      <c r="Q24" s="170">
        <v>0</v>
      </c>
      <c r="R24" s="171">
        <f t="shared" si="11"/>
        <v>-592942.98423628835</v>
      </c>
    </row>
    <row r="25" spans="1:18" x14ac:dyDescent="0.25">
      <c r="A25" s="128">
        <v>6</v>
      </c>
      <c r="B25" s="163">
        <f t="shared" si="4"/>
        <v>45444</v>
      </c>
      <c r="C25" s="205">
        <v>45476</v>
      </c>
      <c r="D25" s="205">
        <v>45497</v>
      </c>
      <c r="E25" s="52" t="s">
        <v>21</v>
      </c>
      <c r="F25" s="128">
        <v>9</v>
      </c>
      <c r="G25" s="165">
        <v>4080</v>
      </c>
      <c r="H25" s="166">
        <f t="shared" si="5"/>
        <v>1702.5353974612706</v>
      </c>
      <c r="I25" s="166">
        <f t="shared" si="1"/>
        <v>1533.3045093675044</v>
      </c>
      <c r="J25" s="167">
        <f t="shared" si="2"/>
        <v>6255882.3982194178</v>
      </c>
      <c r="K25" s="168">
        <f t="shared" si="6"/>
        <v>6946344.421641984</v>
      </c>
      <c r="L25" s="173">
        <f t="shared" si="3"/>
        <v>-690462.02342256624</v>
      </c>
      <c r="M25" s="170">
        <f t="shared" si="7"/>
        <v>-55056.428252027043</v>
      </c>
      <c r="N25" s="171">
        <f t="shared" si="8"/>
        <v>-745518.45167459326</v>
      </c>
      <c r="O25" s="170">
        <f t="shared" si="9"/>
        <v>0</v>
      </c>
      <c r="P25" s="170">
        <f t="shared" si="10"/>
        <v>0</v>
      </c>
      <c r="Q25" s="170">
        <v>0</v>
      </c>
      <c r="R25" s="171">
        <f t="shared" si="11"/>
        <v>-745518.45167459326</v>
      </c>
    </row>
    <row r="26" spans="1:18" x14ac:dyDescent="0.25">
      <c r="A26" s="94">
        <v>7</v>
      </c>
      <c r="B26" s="163">
        <f t="shared" si="4"/>
        <v>45474</v>
      </c>
      <c r="C26" s="205">
        <v>45509</v>
      </c>
      <c r="D26" s="205">
        <v>45530</v>
      </c>
      <c r="E26" s="52" t="s">
        <v>21</v>
      </c>
      <c r="F26" s="128">
        <v>9</v>
      </c>
      <c r="G26" s="165">
        <v>4149</v>
      </c>
      <c r="H26" s="166">
        <f t="shared" si="5"/>
        <v>1702.5353974612706</v>
      </c>
      <c r="I26" s="166">
        <f t="shared" si="1"/>
        <v>1533.3045093675044</v>
      </c>
      <c r="J26" s="167">
        <f t="shared" si="2"/>
        <v>6361680.409365776</v>
      </c>
      <c r="K26" s="174">
        <f t="shared" si="6"/>
        <v>7063819.3640668113</v>
      </c>
      <c r="L26" s="173">
        <f t="shared" si="3"/>
        <v>-702138.95470103528</v>
      </c>
      <c r="M26" s="170">
        <f t="shared" si="7"/>
        <v>-55987.529612171616</v>
      </c>
      <c r="N26" s="171">
        <f t="shared" si="8"/>
        <v>-758126.48431320686</v>
      </c>
      <c r="O26" s="170">
        <f t="shared" si="9"/>
        <v>0</v>
      </c>
      <c r="P26" s="170">
        <f t="shared" si="10"/>
        <v>0</v>
      </c>
      <c r="Q26" s="170">
        <v>0</v>
      </c>
      <c r="R26" s="171">
        <f t="shared" si="11"/>
        <v>-758126.48431320686</v>
      </c>
    </row>
    <row r="27" spans="1:18" x14ac:dyDescent="0.25">
      <c r="A27" s="128">
        <v>8</v>
      </c>
      <c r="B27" s="163">
        <f t="shared" si="4"/>
        <v>45505</v>
      </c>
      <c r="C27" s="205">
        <v>45539</v>
      </c>
      <c r="D27" s="205">
        <v>45559</v>
      </c>
      <c r="E27" s="52" t="s">
        <v>21</v>
      </c>
      <c r="F27" s="128">
        <v>9</v>
      </c>
      <c r="G27" s="165">
        <v>4151</v>
      </c>
      <c r="H27" s="166">
        <f t="shared" si="5"/>
        <v>1702.5353974612706</v>
      </c>
      <c r="I27" s="166">
        <f t="shared" si="1"/>
        <v>1533.3045093675044</v>
      </c>
      <c r="J27" s="167">
        <f t="shared" si="2"/>
        <v>6364747.0183845107</v>
      </c>
      <c r="K27" s="174">
        <f t="shared" si="6"/>
        <v>7067224.4348617345</v>
      </c>
      <c r="L27" s="173">
        <f t="shared" si="3"/>
        <v>-702477.41647722386</v>
      </c>
      <c r="M27" s="170">
        <f t="shared" si="7"/>
        <v>-56014.518057393208</v>
      </c>
      <c r="N27" s="171">
        <f t="shared" si="8"/>
        <v>-758491.93453461712</v>
      </c>
      <c r="O27" s="170">
        <f t="shared" si="9"/>
        <v>0</v>
      </c>
      <c r="P27" s="170">
        <f t="shared" si="10"/>
        <v>0</v>
      </c>
      <c r="Q27" s="170">
        <v>0</v>
      </c>
      <c r="R27" s="171">
        <f t="shared" si="11"/>
        <v>-758491.93453461712</v>
      </c>
    </row>
    <row r="28" spans="1:18" x14ac:dyDescent="0.25">
      <c r="A28" s="128">
        <v>9</v>
      </c>
      <c r="B28" s="163">
        <f t="shared" si="4"/>
        <v>45536</v>
      </c>
      <c r="C28" s="205">
        <v>45568</v>
      </c>
      <c r="D28" s="205">
        <v>45589</v>
      </c>
      <c r="E28" s="52" t="s">
        <v>21</v>
      </c>
      <c r="F28" s="128">
        <v>9</v>
      </c>
      <c r="G28" s="165">
        <v>3859</v>
      </c>
      <c r="H28" s="166">
        <f t="shared" si="5"/>
        <v>1702.5353974612706</v>
      </c>
      <c r="I28" s="166">
        <f t="shared" si="1"/>
        <v>1533.3045093675044</v>
      </c>
      <c r="J28" s="167">
        <f t="shared" si="2"/>
        <v>5917022.1016491996</v>
      </c>
      <c r="K28" s="174">
        <f t="shared" si="6"/>
        <v>6570084.0988030434</v>
      </c>
      <c r="L28" s="173">
        <f t="shared" si="3"/>
        <v>-653061.99715384375</v>
      </c>
      <c r="M28" s="170">
        <f t="shared" si="7"/>
        <v>-52074.20505504225</v>
      </c>
      <c r="N28" s="171">
        <f t="shared" si="8"/>
        <v>-705136.20220888604</v>
      </c>
      <c r="O28" s="170">
        <f t="shared" si="9"/>
        <v>0</v>
      </c>
      <c r="P28" s="170">
        <f t="shared" si="10"/>
        <v>0</v>
      </c>
      <c r="Q28" s="170">
        <v>0</v>
      </c>
      <c r="R28" s="171">
        <f t="shared" si="11"/>
        <v>-705136.20220888604</v>
      </c>
    </row>
    <row r="29" spans="1:18" x14ac:dyDescent="0.25">
      <c r="A29" s="94">
        <v>10</v>
      </c>
      <c r="B29" s="163">
        <f t="shared" si="4"/>
        <v>45566</v>
      </c>
      <c r="C29" s="205">
        <v>45601</v>
      </c>
      <c r="D29" s="205">
        <v>45621</v>
      </c>
      <c r="E29" s="52" t="s">
        <v>21</v>
      </c>
      <c r="F29" s="128">
        <v>9</v>
      </c>
      <c r="G29" s="165">
        <v>3429</v>
      </c>
      <c r="H29" s="166">
        <f t="shared" si="5"/>
        <v>1702.5353974612706</v>
      </c>
      <c r="I29" s="166">
        <f t="shared" si="1"/>
        <v>1533.3045093675044</v>
      </c>
      <c r="J29" s="167">
        <f t="shared" si="2"/>
        <v>5257701.1626211721</v>
      </c>
      <c r="K29" s="174">
        <f t="shared" si="6"/>
        <v>5837993.8778946968</v>
      </c>
      <c r="L29" s="173">
        <f t="shared" si="3"/>
        <v>-580292.71527352463</v>
      </c>
      <c r="M29" s="170">
        <f t="shared" si="7"/>
        <v>-46271.689332402144</v>
      </c>
      <c r="N29" s="171">
        <f t="shared" si="8"/>
        <v>-626564.40460592683</v>
      </c>
      <c r="O29" s="170">
        <f t="shared" si="9"/>
        <v>0</v>
      </c>
      <c r="P29" s="170">
        <f t="shared" si="10"/>
        <v>0</v>
      </c>
      <c r="Q29" s="170">
        <v>0</v>
      </c>
      <c r="R29" s="171">
        <f t="shared" si="11"/>
        <v>-626564.40460592683</v>
      </c>
    </row>
    <row r="30" spans="1:18" x14ac:dyDescent="0.25">
      <c r="A30" s="128">
        <v>11</v>
      </c>
      <c r="B30" s="163">
        <f t="shared" si="4"/>
        <v>45597</v>
      </c>
      <c r="C30" s="205">
        <v>45630</v>
      </c>
      <c r="D30" s="205">
        <v>45650</v>
      </c>
      <c r="E30" s="52" t="s">
        <v>21</v>
      </c>
      <c r="F30" s="128">
        <v>9</v>
      </c>
      <c r="G30" s="165">
        <v>2220</v>
      </c>
      <c r="H30" s="166">
        <f t="shared" si="5"/>
        <v>1702.5353974612706</v>
      </c>
      <c r="I30" s="166">
        <f t="shared" si="1"/>
        <v>1533.3045093675044</v>
      </c>
      <c r="J30" s="167">
        <f t="shared" si="2"/>
        <v>3403936.0107958596</v>
      </c>
      <c r="K30" s="174">
        <f t="shared" si="6"/>
        <v>3779628.5823640209</v>
      </c>
      <c r="L30" s="173">
        <f t="shared" si="3"/>
        <v>-375692.57156816125</v>
      </c>
      <c r="M30" s="170">
        <f t="shared" si="7"/>
        <v>-29957.174195955893</v>
      </c>
      <c r="N30" s="171">
        <f t="shared" si="8"/>
        <v>-405649.74576411716</v>
      </c>
      <c r="O30" s="170">
        <f t="shared" si="9"/>
        <v>0</v>
      </c>
      <c r="P30" s="170">
        <f t="shared" si="10"/>
        <v>0</v>
      </c>
      <c r="Q30" s="170">
        <v>0</v>
      </c>
      <c r="R30" s="171">
        <f t="shared" si="11"/>
        <v>-405649.74576411716</v>
      </c>
    </row>
    <row r="31" spans="1:18" x14ac:dyDescent="0.25">
      <c r="A31" s="128">
        <v>12</v>
      </c>
      <c r="B31" s="163">
        <f t="shared" si="4"/>
        <v>45627</v>
      </c>
      <c r="C31" s="206">
        <v>45660</v>
      </c>
      <c r="D31" s="207">
        <v>45681</v>
      </c>
      <c r="E31" s="52" t="s">
        <v>21</v>
      </c>
      <c r="F31" s="128">
        <v>9</v>
      </c>
      <c r="G31" s="165">
        <v>2569</v>
      </c>
      <c r="H31" s="175">
        <f t="shared" si="5"/>
        <v>1702.5353974612706</v>
      </c>
      <c r="I31" s="175">
        <f t="shared" si="1"/>
        <v>1533.3045093675044</v>
      </c>
      <c r="J31" s="176">
        <f t="shared" si="2"/>
        <v>3939059.2845651186</v>
      </c>
      <c r="K31" s="177">
        <f t="shared" si="6"/>
        <v>4373813.4360780045</v>
      </c>
      <c r="L31" s="178">
        <f t="shared" si="3"/>
        <v>-434754.15151288593</v>
      </c>
      <c r="M31" s="170">
        <f t="shared" si="7"/>
        <v>-34666.657887121932</v>
      </c>
      <c r="N31" s="171">
        <f t="shared" si="8"/>
        <v>-469420.80940000789</v>
      </c>
      <c r="O31" s="170">
        <f t="shared" si="9"/>
        <v>0</v>
      </c>
      <c r="P31" s="170">
        <f t="shared" si="10"/>
        <v>0</v>
      </c>
      <c r="Q31" s="170">
        <v>0</v>
      </c>
      <c r="R31" s="171">
        <f t="shared" si="11"/>
        <v>-469420.80940000789</v>
      </c>
    </row>
    <row r="32" spans="1:18" x14ac:dyDescent="0.25">
      <c r="A32" s="94">
        <v>1</v>
      </c>
      <c r="B32" s="179">
        <f t="shared" si="4"/>
        <v>45292</v>
      </c>
      <c r="C32" s="180">
        <f t="shared" ref="C32:D43" si="12">+C20</f>
        <v>45327</v>
      </c>
      <c r="D32" s="180">
        <f t="shared" si="12"/>
        <v>45348</v>
      </c>
      <c r="E32" s="181" t="s">
        <v>22</v>
      </c>
      <c r="F32" s="182">
        <v>9</v>
      </c>
      <c r="G32" s="165">
        <v>3306</v>
      </c>
      <c r="H32" s="166">
        <f t="shared" si="5"/>
        <v>1702.5353974612706</v>
      </c>
      <c r="I32" s="166">
        <f t="shared" si="1"/>
        <v>1533.3045093675044</v>
      </c>
      <c r="J32" s="167">
        <f t="shared" si="2"/>
        <v>5069104.7079689698</v>
      </c>
      <c r="K32" s="168">
        <f t="shared" si="6"/>
        <v>5628582.0240069609</v>
      </c>
      <c r="L32" s="169">
        <f t="shared" si="3"/>
        <v>-559477.31603799108</v>
      </c>
      <c r="M32" s="170">
        <f t="shared" si="7"/>
        <v>-44611.899951274863</v>
      </c>
      <c r="N32" s="171">
        <f t="shared" si="8"/>
        <v>-604089.21598926594</v>
      </c>
      <c r="O32" s="170">
        <f t="shared" si="9"/>
        <v>0</v>
      </c>
      <c r="P32" s="170">
        <f t="shared" si="10"/>
        <v>0</v>
      </c>
      <c r="Q32" s="170">
        <v>0</v>
      </c>
      <c r="R32" s="171">
        <f t="shared" si="11"/>
        <v>-604089.21598926594</v>
      </c>
    </row>
    <row r="33" spans="1:18" x14ac:dyDescent="0.25">
      <c r="A33" s="128">
        <v>2</v>
      </c>
      <c r="B33" s="163">
        <f t="shared" si="4"/>
        <v>45323</v>
      </c>
      <c r="C33" s="183">
        <f t="shared" si="12"/>
        <v>45356</v>
      </c>
      <c r="D33" s="183">
        <f t="shared" si="12"/>
        <v>45376</v>
      </c>
      <c r="E33" s="172" t="s">
        <v>22</v>
      </c>
      <c r="F33" s="128">
        <v>9</v>
      </c>
      <c r="G33" s="165">
        <v>2611</v>
      </c>
      <c r="H33" s="166">
        <f t="shared" si="5"/>
        <v>1702.5353974612706</v>
      </c>
      <c r="I33" s="166">
        <f t="shared" si="1"/>
        <v>1533.3045093675044</v>
      </c>
      <c r="J33" s="167">
        <f t="shared" si="2"/>
        <v>4003458.0739585538</v>
      </c>
      <c r="K33" s="168">
        <f t="shared" si="6"/>
        <v>4445319.9227713775</v>
      </c>
      <c r="L33" s="169">
        <f t="shared" si="3"/>
        <v>-441861.84881282365</v>
      </c>
      <c r="M33" s="170">
        <f t="shared" si="7"/>
        <v>-35233.415236775152</v>
      </c>
      <c r="N33" s="171">
        <f t="shared" si="8"/>
        <v>-477095.26404959883</v>
      </c>
      <c r="O33" s="170">
        <f t="shared" si="9"/>
        <v>0</v>
      </c>
      <c r="P33" s="170">
        <f t="shared" si="10"/>
        <v>0</v>
      </c>
      <c r="Q33" s="170">
        <v>0</v>
      </c>
      <c r="R33" s="171">
        <f t="shared" si="11"/>
        <v>-477095.26404959883</v>
      </c>
    </row>
    <row r="34" spans="1:18" x14ac:dyDescent="0.25">
      <c r="A34" s="128">
        <v>3</v>
      </c>
      <c r="B34" s="163">
        <f t="shared" si="4"/>
        <v>45352</v>
      </c>
      <c r="C34" s="183">
        <f t="shared" si="12"/>
        <v>45385</v>
      </c>
      <c r="D34" s="183">
        <f t="shared" si="12"/>
        <v>45406</v>
      </c>
      <c r="E34" s="172" t="s">
        <v>22</v>
      </c>
      <c r="F34" s="128">
        <v>9</v>
      </c>
      <c r="G34" s="165">
        <v>2302</v>
      </c>
      <c r="H34" s="166">
        <f t="shared" si="5"/>
        <v>1702.5353974612706</v>
      </c>
      <c r="I34" s="166">
        <f t="shared" si="1"/>
        <v>1533.3045093675044</v>
      </c>
      <c r="J34" s="167">
        <f t="shared" si="2"/>
        <v>3529666.980563995</v>
      </c>
      <c r="K34" s="168">
        <f t="shared" ref="K34:K93" si="13">+$G34*H34</f>
        <v>3919236.4849558449</v>
      </c>
      <c r="L34" s="169">
        <f t="shared" si="3"/>
        <v>-389569.50439184997</v>
      </c>
      <c r="M34" s="170">
        <f t="shared" si="7"/>
        <v>-31063.700450040749</v>
      </c>
      <c r="N34" s="171">
        <f t="shared" si="8"/>
        <v>-420633.20484189072</v>
      </c>
      <c r="O34" s="170">
        <f t="shared" si="9"/>
        <v>0</v>
      </c>
      <c r="P34" s="170">
        <f t="shared" si="10"/>
        <v>0</v>
      </c>
      <c r="Q34" s="170">
        <v>0</v>
      </c>
      <c r="R34" s="171">
        <f t="shared" si="11"/>
        <v>-420633.20484189072</v>
      </c>
    </row>
    <row r="35" spans="1:18" x14ac:dyDescent="0.25">
      <c r="A35" s="94">
        <v>4</v>
      </c>
      <c r="B35" s="163">
        <f t="shared" si="4"/>
        <v>45383</v>
      </c>
      <c r="C35" s="183">
        <f t="shared" si="12"/>
        <v>45415</v>
      </c>
      <c r="D35" s="183">
        <f t="shared" si="12"/>
        <v>45436</v>
      </c>
      <c r="E35" s="172" t="s">
        <v>22</v>
      </c>
      <c r="F35" s="128">
        <v>9</v>
      </c>
      <c r="G35" s="165">
        <v>2486</v>
      </c>
      <c r="H35" s="166">
        <f t="shared" si="5"/>
        <v>1702.5353974612706</v>
      </c>
      <c r="I35" s="166">
        <f t="shared" si="1"/>
        <v>1533.3045093675044</v>
      </c>
      <c r="J35" s="167">
        <f t="shared" si="2"/>
        <v>3811795.0102876159</v>
      </c>
      <c r="K35" s="168">
        <f t="shared" si="13"/>
        <v>4232502.9980887184</v>
      </c>
      <c r="L35" s="169">
        <f t="shared" ref="L35:L57" si="14">+J35-K35</f>
        <v>-420707.98780110246</v>
      </c>
      <c r="M35" s="170">
        <f t="shared" si="7"/>
        <v>-33546.637410426287</v>
      </c>
      <c r="N35" s="171">
        <f t="shared" si="8"/>
        <v>-454254.62521152874</v>
      </c>
      <c r="O35" s="170">
        <f t="shared" si="9"/>
        <v>0</v>
      </c>
      <c r="P35" s="170">
        <f t="shared" si="10"/>
        <v>0</v>
      </c>
      <c r="Q35" s="170">
        <v>0</v>
      </c>
      <c r="R35" s="171">
        <f t="shared" si="11"/>
        <v>-454254.62521152874</v>
      </c>
    </row>
    <row r="36" spans="1:18" x14ac:dyDescent="0.25">
      <c r="A36" s="128">
        <v>5</v>
      </c>
      <c r="B36" s="163">
        <f t="shared" si="4"/>
        <v>45413</v>
      </c>
      <c r="C36" s="183">
        <f t="shared" si="12"/>
        <v>45448</v>
      </c>
      <c r="D36" s="183">
        <f t="shared" si="12"/>
        <v>45467</v>
      </c>
      <c r="E36" s="52" t="s">
        <v>22</v>
      </c>
      <c r="F36" s="128">
        <v>9</v>
      </c>
      <c r="G36" s="165">
        <v>2970</v>
      </c>
      <c r="H36" s="166">
        <f t="shared" si="5"/>
        <v>1702.5353974612706</v>
      </c>
      <c r="I36" s="166">
        <f t="shared" si="1"/>
        <v>1533.3045093675044</v>
      </c>
      <c r="J36" s="167">
        <f t="shared" si="2"/>
        <v>4553914.392821488</v>
      </c>
      <c r="K36" s="168">
        <f t="shared" si="13"/>
        <v>5056530.1304599736</v>
      </c>
      <c r="L36" s="169">
        <f t="shared" si="14"/>
        <v>-502615.73763848562</v>
      </c>
      <c r="M36" s="170">
        <f t="shared" si="7"/>
        <v>-40077.8411540491</v>
      </c>
      <c r="N36" s="171">
        <f t="shared" si="8"/>
        <v>-542693.57879253477</v>
      </c>
      <c r="O36" s="170">
        <f t="shared" si="9"/>
        <v>0</v>
      </c>
      <c r="P36" s="170">
        <f t="shared" si="10"/>
        <v>0</v>
      </c>
      <c r="Q36" s="170">
        <v>0</v>
      </c>
      <c r="R36" s="171">
        <f t="shared" si="11"/>
        <v>-542693.57879253477</v>
      </c>
    </row>
    <row r="37" spans="1:18" x14ac:dyDescent="0.25">
      <c r="A37" s="128">
        <v>6</v>
      </c>
      <c r="B37" s="163">
        <f t="shared" si="4"/>
        <v>45444</v>
      </c>
      <c r="C37" s="183">
        <f t="shared" si="12"/>
        <v>45476</v>
      </c>
      <c r="D37" s="183">
        <f t="shared" si="12"/>
        <v>45497</v>
      </c>
      <c r="E37" s="52" t="s">
        <v>22</v>
      </c>
      <c r="F37" s="128">
        <v>9</v>
      </c>
      <c r="G37" s="165">
        <v>3483</v>
      </c>
      <c r="H37" s="166">
        <f t="shared" si="5"/>
        <v>1702.5353974612706</v>
      </c>
      <c r="I37" s="166">
        <f t="shared" si="1"/>
        <v>1533.3045093675044</v>
      </c>
      <c r="J37" s="167">
        <f t="shared" si="2"/>
        <v>5340499.6061270181</v>
      </c>
      <c r="K37" s="168">
        <f t="shared" si="13"/>
        <v>5929930.7893576054</v>
      </c>
      <c r="L37" s="173">
        <f t="shared" si="14"/>
        <v>-589431.18323058728</v>
      </c>
      <c r="M37" s="170">
        <f t="shared" si="7"/>
        <v>-47000.377353384851</v>
      </c>
      <c r="N37" s="171">
        <f t="shared" si="8"/>
        <v>-636431.56058397214</v>
      </c>
      <c r="O37" s="170">
        <f t="shared" si="9"/>
        <v>0</v>
      </c>
      <c r="P37" s="170">
        <f t="shared" si="10"/>
        <v>0</v>
      </c>
      <c r="Q37" s="170">
        <v>0</v>
      </c>
      <c r="R37" s="171">
        <f t="shared" si="11"/>
        <v>-636431.56058397214</v>
      </c>
    </row>
    <row r="38" spans="1:18" x14ac:dyDescent="0.25">
      <c r="A38" s="94">
        <v>7</v>
      </c>
      <c r="B38" s="163">
        <f t="shared" si="4"/>
        <v>45474</v>
      </c>
      <c r="C38" s="183">
        <f t="shared" si="12"/>
        <v>45509</v>
      </c>
      <c r="D38" s="183">
        <f t="shared" si="12"/>
        <v>45530</v>
      </c>
      <c r="E38" s="52" t="s">
        <v>22</v>
      </c>
      <c r="F38" s="128">
        <v>9</v>
      </c>
      <c r="G38" s="165">
        <v>3510</v>
      </c>
      <c r="H38" s="166">
        <f t="shared" si="5"/>
        <v>1702.5353974612706</v>
      </c>
      <c r="I38" s="166">
        <f t="shared" si="1"/>
        <v>1533.3045093675044</v>
      </c>
      <c r="J38" s="167">
        <f t="shared" si="2"/>
        <v>5381898.8278799402</v>
      </c>
      <c r="K38" s="174">
        <f t="shared" si="13"/>
        <v>5975899.2450890597</v>
      </c>
      <c r="L38" s="173">
        <f t="shared" si="14"/>
        <v>-594000.41720911954</v>
      </c>
      <c r="M38" s="170">
        <f t="shared" si="7"/>
        <v>-47364.721363876211</v>
      </c>
      <c r="N38" s="171">
        <f t="shared" si="8"/>
        <v>-641365.13857299578</v>
      </c>
      <c r="O38" s="170">
        <f t="shared" si="9"/>
        <v>0</v>
      </c>
      <c r="P38" s="170">
        <f t="shared" si="10"/>
        <v>0</v>
      </c>
      <c r="Q38" s="170">
        <v>0</v>
      </c>
      <c r="R38" s="171">
        <f t="shared" si="11"/>
        <v>-641365.13857299578</v>
      </c>
    </row>
    <row r="39" spans="1:18" x14ac:dyDescent="0.25">
      <c r="A39" s="128">
        <v>8</v>
      </c>
      <c r="B39" s="163">
        <f t="shared" si="4"/>
        <v>45505</v>
      </c>
      <c r="C39" s="183">
        <f t="shared" si="12"/>
        <v>45539</v>
      </c>
      <c r="D39" s="183">
        <f t="shared" si="12"/>
        <v>45559</v>
      </c>
      <c r="E39" s="52" t="s">
        <v>22</v>
      </c>
      <c r="F39" s="128">
        <v>9</v>
      </c>
      <c r="G39" s="165">
        <v>3574</v>
      </c>
      <c r="H39" s="166">
        <f t="shared" si="5"/>
        <v>1702.5353974612706</v>
      </c>
      <c r="I39" s="166">
        <f t="shared" si="1"/>
        <v>1533.3045093675044</v>
      </c>
      <c r="J39" s="167">
        <f t="shared" si="2"/>
        <v>5480030.3164794603</v>
      </c>
      <c r="K39" s="174">
        <f t="shared" si="13"/>
        <v>6084861.5105265807</v>
      </c>
      <c r="L39" s="173">
        <f t="shared" si="14"/>
        <v>-604831.1940471204</v>
      </c>
      <c r="M39" s="170">
        <f t="shared" si="7"/>
        <v>-48228.351610966834</v>
      </c>
      <c r="N39" s="171">
        <f t="shared" si="8"/>
        <v>-653059.54565808724</v>
      </c>
      <c r="O39" s="170">
        <f t="shared" si="9"/>
        <v>0</v>
      </c>
      <c r="P39" s="170">
        <f t="shared" si="10"/>
        <v>0</v>
      </c>
      <c r="Q39" s="170">
        <v>0</v>
      </c>
      <c r="R39" s="171">
        <f t="shared" si="11"/>
        <v>-653059.54565808724</v>
      </c>
    </row>
    <row r="40" spans="1:18" x14ac:dyDescent="0.25">
      <c r="A40" s="128">
        <v>9</v>
      </c>
      <c r="B40" s="163">
        <f t="shared" si="4"/>
        <v>45536</v>
      </c>
      <c r="C40" s="183">
        <f t="shared" si="12"/>
        <v>45568</v>
      </c>
      <c r="D40" s="183">
        <f t="shared" si="12"/>
        <v>45589</v>
      </c>
      <c r="E40" s="52" t="s">
        <v>22</v>
      </c>
      <c r="F40" s="128">
        <v>9</v>
      </c>
      <c r="G40" s="165">
        <v>3188</v>
      </c>
      <c r="H40" s="166">
        <f t="shared" si="5"/>
        <v>1702.5353974612706</v>
      </c>
      <c r="I40" s="166">
        <f t="shared" si="1"/>
        <v>1533.3045093675044</v>
      </c>
      <c r="J40" s="167">
        <f t="shared" si="2"/>
        <v>4888174.7758636037</v>
      </c>
      <c r="K40" s="174">
        <f t="shared" si="13"/>
        <v>5427682.8471065303</v>
      </c>
      <c r="L40" s="173">
        <f t="shared" si="14"/>
        <v>-539508.07124292664</v>
      </c>
      <c r="M40" s="170">
        <f t="shared" si="7"/>
        <v>-43019.581683201526</v>
      </c>
      <c r="N40" s="171">
        <f t="shared" si="8"/>
        <v>-582527.65292612812</v>
      </c>
      <c r="O40" s="170">
        <f t="shared" si="9"/>
        <v>0</v>
      </c>
      <c r="P40" s="170">
        <f t="shared" si="10"/>
        <v>0</v>
      </c>
      <c r="Q40" s="170">
        <v>0</v>
      </c>
      <c r="R40" s="171">
        <f t="shared" si="11"/>
        <v>-582527.65292612812</v>
      </c>
    </row>
    <row r="41" spans="1:18" x14ac:dyDescent="0.25">
      <c r="A41" s="94">
        <v>10</v>
      </c>
      <c r="B41" s="163">
        <f t="shared" si="4"/>
        <v>45566</v>
      </c>
      <c r="C41" s="183">
        <f t="shared" si="12"/>
        <v>45601</v>
      </c>
      <c r="D41" s="183">
        <f t="shared" si="12"/>
        <v>45621</v>
      </c>
      <c r="E41" s="52" t="s">
        <v>22</v>
      </c>
      <c r="F41" s="128">
        <v>9</v>
      </c>
      <c r="G41" s="165">
        <v>2793</v>
      </c>
      <c r="H41" s="166">
        <f t="shared" si="5"/>
        <v>1702.5353974612706</v>
      </c>
      <c r="I41" s="166">
        <f t="shared" si="1"/>
        <v>1533.3045093675044</v>
      </c>
      <c r="J41" s="167">
        <f t="shared" si="2"/>
        <v>4282519.4946634397</v>
      </c>
      <c r="K41" s="174">
        <f t="shared" si="13"/>
        <v>4755181.3651093291</v>
      </c>
      <c r="L41" s="173">
        <f t="shared" si="14"/>
        <v>-472661.87044588942</v>
      </c>
      <c r="M41" s="170">
        <f t="shared" si="7"/>
        <v>-37689.363751939105</v>
      </c>
      <c r="N41" s="171">
        <f t="shared" si="8"/>
        <v>-510351.23419782851</v>
      </c>
      <c r="O41" s="170">
        <f t="shared" si="9"/>
        <v>0</v>
      </c>
      <c r="P41" s="170">
        <f t="shared" si="10"/>
        <v>0</v>
      </c>
      <c r="Q41" s="170">
        <v>0</v>
      </c>
      <c r="R41" s="171">
        <f t="shared" si="11"/>
        <v>-510351.23419782851</v>
      </c>
    </row>
    <row r="42" spans="1:18" x14ac:dyDescent="0.25">
      <c r="A42" s="128">
        <v>11</v>
      </c>
      <c r="B42" s="163">
        <f t="shared" si="4"/>
        <v>45597</v>
      </c>
      <c r="C42" s="183">
        <f t="shared" si="12"/>
        <v>45630</v>
      </c>
      <c r="D42" s="183">
        <f t="shared" si="12"/>
        <v>45650</v>
      </c>
      <c r="E42" s="52" t="s">
        <v>22</v>
      </c>
      <c r="F42" s="128">
        <v>9</v>
      </c>
      <c r="G42" s="165">
        <v>2339</v>
      </c>
      <c r="H42" s="166">
        <f t="shared" si="5"/>
        <v>1702.5353974612706</v>
      </c>
      <c r="I42" s="166">
        <f t="shared" si="1"/>
        <v>1533.3045093675044</v>
      </c>
      <c r="J42" s="167">
        <f t="shared" si="2"/>
        <v>3586399.2474105926</v>
      </c>
      <c r="K42" s="174">
        <f t="shared" si="13"/>
        <v>3982230.2946619117</v>
      </c>
      <c r="L42" s="173">
        <f t="shared" si="14"/>
        <v>-395831.04725131905</v>
      </c>
      <c r="M42" s="170">
        <f t="shared" si="7"/>
        <v>-31562.986686640015</v>
      </c>
      <c r="N42" s="171">
        <f t="shared" si="8"/>
        <v>-427394.03393795906</v>
      </c>
      <c r="O42" s="170">
        <f t="shared" si="9"/>
        <v>0</v>
      </c>
      <c r="P42" s="170">
        <f t="shared" si="10"/>
        <v>0</v>
      </c>
      <c r="Q42" s="170">
        <v>0</v>
      </c>
      <c r="R42" s="171">
        <f t="shared" si="11"/>
        <v>-427394.03393795906</v>
      </c>
    </row>
    <row r="43" spans="1:18" x14ac:dyDescent="0.25">
      <c r="A43" s="128">
        <v>12</v>
      </c>
      <c r="B43" s="163">
        <f t="shared" si="4"/>
        <v>45627</v>
      </c>
      <c r="C43" s="183">
        <f t="shared" si="12"/>
        <v>45660</v>
      </c>
      <c r="D43" s="183">
        <f t="shared" si="12"/>
        <v>45681</v>
      </c>
      <c r="E43" s="52" t="s">
        <v>22</v>
      </c>
      <c r="F43" s="128">
        <v>9</v>
      </c>
      <c r="G43" s="165">
        <v>2520</v>
      </c>
      <c r="H43" s="175">
        <f t="shared" si="5"/>
        <v>1702.5353974612706</v>
      </c>
      <c r="I43" s="175">
        <f t="shared" si="1"/>
        <v>1533.3045093675044</v>
      </c>
      <c r="J43" s="176">
        <f t="shared" si="2"/>
        <v>3863927.3636061111</v>
      </c>
      <c r="K43" s="177">
        <f t="shared" si="13"/>
        <v>4290389.2016024021</v>
      </c>
      <c r="L43" s="178">
        <f t="shared" si="14"/>
        <v>-426461.837996291</v>
      </c>
      <c r="M43" s="170">
        <f t="shared" si="7"/>
        <v>-34005.440979193176</v>
      </c>
      <c r="N43" s="171">
        <f t="shared" si="8"/>
        <v>-460467.27897548419</v>
      </c>
      <c r="O43" s="170">
        <f t="shared" si="9"/>
        <v>0</v>
      </c>
      <c r="P43" s="170">
        <f t="shared" si="10"/>
        <v>0</v>
      </c>
      <c r="Q43" s="170">
        <v>0</v>
      </c>
      <c r="R43" s="171">
        <f t="shared" si="11"/>
        <v>-460467.27897548419</v>
      </c>
    </row>
    <row r="44" spans="1:18" x14ac:dyDescent="0.25">
      <c r="A44" s="94">
        <v>1</v>
      </c>
      <c r="B44" s="179">
        <f t="shared" ref="B44:B55" si="15">DATE($R$1,A44,1)</f>
        <v>45292</v>
      </c>
      <c r="C44" s="180">
        <f t="shared" ref="C44:D55" si="16">+C32</f>
        <v>45327</v>
      </c>
      <c r="D44" s="180">
        <f t="shared" si="16"/>
        <v>45348</v>
      </c>
      <c r="E44" s="181" t="s">
        <v>83</v>
      </c>
      <c r="F44" s="182">
        <v>9</v>
      </c>
      <c r="G44" s="165">
        <v>216</v>
      </c>
      <c r="H44" s="166">
        <f t="shared" si="5"/>
        <v>1702.5353974612706</v>
      </c>
      <c r="I44" s="166">
        <f t="shared" si="1"/>
        <v>1533.3045093675044</v>
      </c>
      <c r="J44" s="170">
        <f t="shared" ref="J44:J55" si="17">+$G44*I44</f>
        <v>331193.77402338095</v>
      </c>
      <c r="K44" s="174">
        <f t="shared" ref="K44:K55" si="18">+$G44*H44</f>
        <v>367747.64585163444</v>
      </c>
      <c r="L44" s="173">
        <f t="shared" ref="L44:L55" si="19">+J44-K44</f>
        <v>-36553.871828253497</v>
      </c>
      <c r="M44" s="170">
        <f t="shared" si="7"/>
        <v>-2914.752083930844</v>
      </c>
      <c r="N44" s="171">
        <f t="shared" si="8"/>
        <v>-39468.623912184339</v>
      </c>
      <c r="O44" s="170">
        <f t="shared" si="9"/>
        <v>0</v>
      </c>
      <c r="P44" s="170">
        <f t="shared" si="10"/>
        <v>0</v>
      </c>
      <c r="Q44" s="170">
        <v>0</v>
      </c>
      <c r="R44" s="171">
        <f t="shared" si="11"/>
        <v>-39468.623912184339</v>
      </c>
    </row>
    <row r="45" spans="1:18" x14ac:dyDescent="0.25">
      <c r="A45" s="128">
        <v>2</v>
      </c>
      <c r="B45" s="163">
        <f t="shared" si="15"/>
        <v>45323</v>
      </c>
      <c r="C45" s="183">
        <f t="shared" si="16"/>
        <v>45356</v>
      </c>
      <c r="D45" s="183">
        <f t="shared" si="16"/>
        <v>45376</v>
      </c>
      <c r="E45" s="172" t="s">
        <v>83</v>
      </c>
      <c r="F45" s="128">
        <v>9</v>
      </c>
      <c r="G45" s="165">
        <v>146</v>
      </c>
      <c r="H45" s="166">
        <f t="shared" si="5"/>
        <v>1702.5353974612706</v>
      </c>
      <c r="I45" s="166">
        <f t="shared" si="1"/>
        <v>1533.3045093675044</v>
      </c>
      <c r="J45" s="170">
        <f t="shared" si="17"/>
        <v>223862.45836765564</v>
      </c>
      <c r="K45" s="174">
        <f t="shared" si="18"/>
        <v>248570.16802934551</v>
      </c>
      <c r="L45" s="173">
        <f t="shared" si="19"/>
        <v>-24707.709661689878</v>
      </c>
      <c r="M45" s="170">
        <f t="shared" si="7"/>
        <v>-1970.1565011754776</v>
      </c>
      <c r="N45" s="171">
        <f t="shared" si="8"/>
        <v>-26677.866162865357</v>
      </c>
      <c r="O45" s="170">
        <f t="shared" si="9"/>
        <v>0</v>
      </c>
      <c r="P45" s="170">
        <f t="shared" si="10"/>
        <v>0</v>
      </c>
      <c r="Q45" s="170">
        <v>0</v>
      </c>
      <c r="R45" s="171">
        <f t="shared" si="11"/>
        <v>-26677.866162865357</v>
      </c>
    </row>
    <row r="46" spans="1:18" x14ac:dyDescent="0.25">
      <c r="A46" s="128">
        <v>3</v>
      </c>
      <c r="B46" s="163">
        <f t="shared" si="15"/>
        <v>45352</v>
      </c>
      <c r="C46" s="183">
        <f t="shared" si="16"/>
        <v>45385</v>
      </c>
      <c r="D46" s="183">
        <f t="shared" si="16"/>
        <v>45406</v>
      </c>
      <c r="E46" s="172" t="s">
        <v>83</v>
      </c>
      <c r="F46" s="128">
        <v>9</v>
      </c>
      <c r="G46" s="165">
        <v>113</v>
      </c>
      <c r="H46" s="166">
        <f t="shared" si="5"/>
        <v>1702.5353974612706</v>
      </c>
      <c r="I46" s="166">
        <f t="shared" si="1"/>
        <v>1533.3045093675044</v>
      </c>
      <c r="J46" s="170">
        <f t="shared" si="17"/>
        <v>173263.40955852799</v>
      </c>
      <c r="K46" s="174">
        <f t="shared" si="18"/>
        <v>192386.49991312358</v>
      </c>
      <c r="L46" s="173">
        <f t="shared" si="19"/>
        <v>-19123.090354595595</v>
      </c>
      <c r="M46" s="170">
        <f t="shared" si="7"/>
        <v>-1524.8471550193765</v>
      </c>
      <c r="N46" s="171">
        <f t="shared" si="8"/>
        <v>-20647.937509614971</v>
      </c>
      <c r="O46" s="170">
        <f t="shared" si="9"/>
        <v>0</v>
      </c>
      <c r="P46" s="170">
        <f t="shared" si="10"/>
        <v>0</v>
      </c>
      <c r="Q46" s="170">
        <v>0</v>
      </c>
      <c r="R46" s="171">
        <f t="shared" si="11"/>
        <v>-20647.937509614971</v>
      </c>
    </row>
    <row r="47" spans="1:18" x14ac:dyDescent="0.25">
      <c r="A47" s="94">
        <v>4</v>
      </c>
      <c r="B47" s="163">
        <f t="shared" si="15"/>
        <v>45383</v>
      </c>
      <c r="C47" s="183">
        <f t="shared" si="16"/>
        <v>45415</v>
      </c>
      <c r="D47" s="183">
        <f t="shared" si="16"/>
        <v>45436</v>
      </c>
      <c r="E47" s="172" t="s">
        <v>83</v>
      </c>
      <c r="F47" s="128">
        <v>9</v>
      </c>
      <c r="G47" s="165">
        <v>76</v>
      </c>
      <c r="H47" s="166">
        <f t="shared" si="5"/>
        <v>1702.5353974612706</v>
      </c>
      <c r="I47" s="166">
        <f t="shared" si="1"/>
        <v>1533.3045093675044</v>
      </c>
      <c r="J47" s="170">
        <f t="shared" si="17"/>
        <v>116531.14271193033</v>
      </c>
      <c r="K47" s="174">
        <f t="shared" si="18"/>
        <v>129392.69020705657</v>
      </c>
      <c r="L47" s="173">
        <f t="shared" si="19"/>
        <v>-12861.547495126244</v>
      </c>
      <c r="M47" s="170">
        <f t="shared" si="7"/>
        <v>-1025.5609184201116</v>
      </c>
      <c r="N47" s="171">
        <f t="shared" si="8"/>
        <v>-13887.108413546355</v>
      </c>
      <c r="O47" s="170">
        <f t="shared" si="9"/>
        <v>0</v>
      </c>
      <c r="P47" s="170">
        <f t="shared" si="10"/>
        <v>0</v>
      </c>
      <c r="Q47" s="170">
        <v>0</v>
      </c>
      <c r="R47" s="171">
        <f t="shared" si="11"/>
        <v>-13887.108413546355</v>
      </c>
    </row>
    <row r="48" spans="1:18" x14ac:dyDescent="0.25">
      <c r="A48" s="128">
        <v>5</v>
      </c>
      <c r="B48" s="163">
        <f t="shared" si="15"/>
        <v>45413</v>
      </c>
      <c r="C48" s="183">
        <f t="shared" si="16"/>
        <v>45448</v>
      </c>
      <c r="D48" s="183">
        <f t="shared" si="16"/>
        <v>45467</v>
      </c>
      <c r="E48" s="172" t="s">
        <v>83</v>
      </c>
      <c r="F48" s="128">
        <v>9</v>
      </c>
      <c r="G48" s="165">
        <v>120</v>
      </c>
      <c r="H48" s="166">
        <f t="shared" si="5"/>
        <v>1702.5353974612706</v>
      </c>
      <c r="I48" s="166">
        <f t="shared" si="1"/>
        <v>1533.3045093675044</v>
      </c>
      <c r="J48" s="170">
        <f t="shared" si="17"/>
        <v>183996.54112410053</v>
      </c>
      <c r="K48" s="174">
        <f t="shared" si="18"/>
        <v>204304.24769535247</v>
      </c>
      <c r="L48" s="173">
        <f t="shared" si="19"/>
        <v>-20307.70657125194</v>
      </c>
      <c r="M48" s="170">
        <f t="shared" si="7"/>
        <v>-1619.3067132949132</v>
      </c>
      <c r="N48" s="171">
        <f t="shared" si="8"/>
        <v>-21927.013284546854</v>
      </c>
      <c r="O48" s="170">
        <f t="shared" si="9"/>
        <v>0</v>
      </c>
      <c r="P48" s="170">
        <f t="shared" si="10"/>
        <v>0</v>
      </c>
      <c r="Q48" s="170">
        <v>0</v>
      </c>
      <c r="R48" s="171">
        <f t="shared" si="11"/>
        <v>-21927.013284546854</v>
      </c>
    </row>
    <row r="49" spans="1:18" x14ac:dyDescent="0.25">
      <c r="A49" s="128">
        <v>6</v>
      </c>
      <c r="B49" s="163">
        <f t="shared" si="15"/>
        <v>45444</v>
      </c>
      <c r="C49" s="183">
        <f t="shared" si="16"/>
        <v>45476</v>
      </c>
      <c r="D49" s="183">
        <f t="shared" si="16"/>
        <v>45497</v>
      </c>
      <c r="E49" s="172" t="s">
        <v>83</v>
      </c>
      <c r="F49" s="128">
        <v>9</v>
      </c>
      <c r="G49" s="165">
        <v>147</v>
      </c>
      <c r="H49" s="166">
        <f t="shared" si="5"/>
        <v>1702.5353974612706</v>
      </c>
      <c r="I49" s="166">
        <f t="shared" si="1"/>
        <v>1533.3045093675044</v>
      </c>
      <c r="J49" s="170">
        <f t="shared" si="17"/>
        <v>225395.76287702314</v>
      </c>
      <c r="K49" s="174">
        <f t="shared" si="18"/>
        <v>250272.70342680678</v>
      </c>
      <c r="L49" s="173">
        <f t="shared" si="19"/>
        <v>-24876.940549783641</v>
      </c>
      <c r="M49" s="170">
        <f t="shared" si="7"/>
        <v>-1983.6507237862686</v>
      </c>
      <c r="N49" s="171">
        <f t="shared" si="8"/>
        <v>-26860.591273569909</v>
      </c>
      <c r="O49" s="170">
        <f t="shared" si="9"/>
        <v>0</v>
      </c>
      <c r="P49" s="170">
        <f t="shared" si="10"/>
        <v>0</v>
      </c>
      <c r="Q49" s="170">
        <v>0</v>
      </c>
      <c r="R49" s="171">
        <f t="shared" si="11"/>
        <v>-26860.591273569909</v>
      </c>
    </row>
    <row r="50" spans="1:18" x14ac:dyDescent="0.25">
      <c r="A50" s="94">
        <v>7</v>
      </c>
      <c r="B50" s="163">
        <f t="shared" si="15"/>
        <v>45474</v>
      </c>
      <c r="C50" s="183">
        <f t="shared" si="16"/>
        <v>45509</v>
      </c>
      <c r="D50" s="183">
        <f t="shared" si="16"/>
        <v>45530</v>
      </c>
      <c r="E50" s="172" t="s">
        <v>83</v>
      </c>
      <c r="F50" s="128">
        <v>9</v>
      </c>
      <c r="G50" s="165">
        <v>155</v>
      </c>
      <c r="H50" s="166">
        <f t="shared" si="5"/>
        <v>1702.5353974612706</v>
      </c>
      <c r="I50" s="166">
        <f t="shared" si="1"/>
        <v>1533.3045093675044</v>
      </c>
      <c r="J50" s="170">
        <f t="shared" si="17"/>
        <v>237662.19895196316</v>
      </c>
      <c r="K50" s="174">
        <f t="shared" si="18"/>
        <v>263892.98660649697</v>
      </c>
      <c r="L50" s="173">
        <f t="shared" si="19"/>
        <v>-26230.787654533808</v>
      </c>
      <c r="M50" s="170">
        <f t="shared" si="7"/>
        <v>-2091.6045046725962</v>
      </c>
      <c r="N50" s="171">
        <f t="shared" si="8"/>
        <v>-28322.392159206403</v>
      </c>
      <c r="O50" s="170">
        <f t="shared" si="9"/>
        <v>0</v>
      </c>
      <c r="P50" s="170">
        <f t="shared" si="10"/>
        <v>0</v>
      </c>
      <c r="Q50" s="170">
        <v>0</v>
      </c>
      <c r="R50" s="171">
        <f t="shared" si="11"/>
        <v>-28322.392159206403</v>
      </c>
    </row>
    <row r="51" spans="1:18" x14ac:dyDescent="0.25">
      <c r="A51" s="128">
        <v>8</v>
      </c>
      <c r="B51" s="163">
        <f t="shared" si="15"/>
        <v>45505</v>
      </c>
      <c r="C51" s="183">
        <f t="shared" si="16"/>
        <v>45539</v>
      </c>
      <c r="D51" s="183">
        <f t="shared" si="16"/>
        <v>45559</v>
      </c>
      <c r="E51" s="172" t="s">
        <v>83</v>
      </c>
      <c r="F51" s="128">
        <v>9</v>
      </c>
      <c r="G51" s="165">
        <v>157</v>
      </c>
      <c r="H51" s="166">
        <f t="shared" si="5"/>
        <v>1702.5353974612706</v>
      </c>
      <c r="I51" s="166">
        <f t="shared" si="1"/>
        <v>1533.3045093675044</v>
      </c>
      <c r="J51" s="170">
        <f t="shared" si="17"/>
        <v>240728.8079706982</v>
      </c>
      <c r="K51" s="174">
        <f t="shared" si="18"/>
        <v>267298.0574014195</v>
      </c>
      <c r="L51" s="173">
        <f t="shared" si="19"/>
        <v>-26569.249430721306</v>
      </c>
      <c r="M51" s="170">
        <f t="shared" si="7"/>
        <v>-2118.5929498941778</v>
      </c>
      <c r="N51" s="171">
        <f t="shared" si="8"/>
        <v>-28687.842380615482</v>
      </c>
      <c r="O51" s="170">
        <f t="shared" si="9"/>
        <v>0</v>
      </c>
      <c r="P51" s="170">
        <f t="shared" si="10"/>
        <v>0</v>
      </c>
      <c r="Q51" s="170">
        <v>0</v>
      </c>
      <c r="R51" s="171">
        <f t="shared" si="11"/>
        <v>-28687.842380615482</v>
      </c>
    </row>
    <row r="52" spans="1:18" x14ac:dyDescent="0.25">
      <c r="A52" s="128">
        <v>9</v>
      </c>
      <c r="B52" s="163">
        <f t="shared" si="15"/>
        <v>45536</v>
      </c>
      <c r="C52" s="183">
        <f t="shared" si="16"/>
        <v>45568</v>
      </c>
      <c r="D52" s="183">
        <f t="shared" si="16"/>
        <v>45589</v>
      </c>
      <c r="E52" s="172" t="s">
        <v>83</v>
      </c>
      <c r="F52" s="128">
        <v>9</v>
      </c>
      <c r="G52" s="165">
        <v>126</v>
      </c>
      <c r="H52" s="166">
        <f t="shared" si="5"/>
        <v>1702.5353974612706</v>
      </c>
      <c r="I52" s="166">
        <f t="shared" si="1"/>
        <v>1533.3045093675044</v>
      </c>
      <c r="J52" s="170">
        <f t="shared" si="17"/>
        <v>193196.36818030555</v>
      </c>
      <c r="K52" s="174">
        <f t="shared" si="18"/>
        <v>214519.4600801201</v>
      </c>
      <c r="L52" s="173">
        <f t="shared" si="19"/>
        <v>-21323.09189981455</v>
      </c>
      <c r="M52" s="170">
        <f t="shared" si="7"/>
        <v>-1700.2720489596588</v>
      </c>
      <c r="N52" s="171">
        <f t="shared" si="8"/>
        <v>-23023.363948774208</v>
      </c>
      <c r="O52" s="170">
        <f t="shared" si="9"/>
        <v>0</v>
      </c>
      <c r="P52" s="170">
        <f t="shared" si="10"/>
        <v>0</v>
      </c>
      <c r="Q52" s="170">
        <v>0</v>
      </c>
      <c r="R52" s="171">
        <f t="shared" si="11"/>
        <v>-23023.363948774208</v>
      </c>
    </row>
    <row r="53" spans="1:18" x14ac:dyDescent="0.25">
      <c r="A53" s="94">
        <v>10</v>
      </c>
      <c r="B53" s="163">
        <f t="shared" si="15"/>
        <v>45566</v>
      </c>
      <c r="C53" s="183">
        <f t="shared" si="16"/>
        <v>45601</v>
      </c>
      <c r="D53" s="183">
        <f t="shared" si="16"/>
        <v>45621</v>
      </c>
      <c r="E53" s="172" t="s">
        <v>83</v>
      </c>
      <c r="F53" s="128">
        <v>9</v>
      </c>
      <c r="G53" s="165">
        <v>112</v>
      </c>
      <c r="H53" s="166">
        <f t="shared" si="5"/>
        <v>1702.5353974612706</v>
      </c>
      <c r="I53" s="166">
        <f t="shared" si="1"/>
        <v>1533.3045093675044</v>
      </c>
      <c r="J53" s="170">
        <f t="shared" si="17"/>
        <v>171730.10504916048</v>
      </c>
      <c r="K53" s="174">
        <f t="shared" si="18"/>
        <v>190683.96451566232</v>
      </c>
      <c r="L53" s="173">
        <f t="shared" si="19"/>
        <v>-18953.859466501832</v>
      </c>
      <c r="M53" s="170">
        <f t="shared" si="7"/>
        <v>-1511.3529324085857</v>
      </c>
      <c r="N53" s="171">
        <f t="shared" si="8"/>
        <v>-20465.212398910418</v>
      </c>
      <c r="O53" s="170">
        <f t="shared" si="9"/>
        <v>0</v>
      </c>
      <c r="P53" s="170">
        <f t="shared" si="10"/>
        <v>0</v>
      </c>
      <c r="Q53" s="170">
        <v>0</v>
      </c>
      <c r="R53" s="171">
        <f t="shared" si="11"/>
        <v>-20465.212398910418</v>
      </c>
    </row>
    <row r="54" spans="1:18" x14ac:dyDescent="0.25">
      <c r="A54" s="128">
        <v>11</v>
      </c>
      <c r="B54" s="163">
        <f t="shared" si="15"/>
        <v>45597</v>
      </c>
      <c r="C54" s="183">
        <f t="shared" si="16"/>
        <v>45630</v>
      </c>
      <c r="D54" s="183">
        <f t="shared" si="16"/>
        <v>45650</v>
      </c>
      <c r="E54" s="172" t="s">
        <v>83</v>
      </c>
      <c r="F54" s="128">
        <v>9</v>
      </c>
      <c r="G54" s="165">
        <v>93</v>
      </c>
      <c r="H54" s="166">
        <f t="shared" si="5"/>
        <v>1702.5353974612706</v>
      </c>
      <c r="I54" s="166">
        <f t="shared" si="1"/>
        <v>1533.3045093675044</v>
      </c>
      <c r="J54" s="170">
        <f t="shared" si="17"/>
        <v>142597.3193711779</v>
      </c>
      <c r="K54" s="174">
        <f t="shared" si="18"/>
        <v>158335.79196389817</v>
      </c>
      <c r="L54" s="173">
        <f t="shared" si="19"/>
        <v>-15738.472592720267</v>
      </c>
      <c r="M54" s="170">
        <f t="shared" si="7"/>
        <v>-1254.9627028035577</v>
      </c>
      <c r="N54" s="171">
        <f t="shared" si="8"/>
        <v>-16993.435295523825</v>
      </c>
      <c r="O54" s="170">
        <f t="shared" si="9"/>
        <v>0</v>
      </c>
      <c r="P54" s="170">
        <f t="shared" si="10"/>
        <v>0</v>
      </c>
      <c r="Q54" s="170">
        <v>0</v>
      </c>
      <c r="R54" s="171">
        <f t="shared" si="11"/>
        <v>-16993.435295523825</v>
      </c>
    </row>
    <row r="55" spans="1:18" x14ac:dyDescent="0.25">
      <c r="A55" s="128">
        <v>12</v>
      </c>
      <c r="B55" s="163">
        <f t="shared" si="15"/>
        <v>45627</v>
      </c>
      <c r="C55" s="183">
        <f t="shared" si="16"/>
        <v>45660</v>
      </c>
      <c r="D55" s="183">
        <f t="shared" si="16"/>
        <v>45681</v>
      </c>
      <c r="E55" s="172" t="s">
        <v>83</v>
      </c>
      <c r="F55" s="128">
        <v>9</v>
      </c>
      <c r="G55" s="165">
        <v>128</v>
      </c>
      <c r="H55" s="175">
        <f t="shared" si="5"/>
        <v>1702.5353974612706</v>
      </c>
      <c r="I55" s="175">
        <f t="shared" si="1"/>
        <v>1533.3045093675044</v>
      </c>
      <c r="J55" s="176">
        <f t="shared" si="17"/>
        <v>196262.97719904056</v>
      </c>
      <c r="K55" s="177">
        <f t="shared" si="18"/>
        <v>217924.53087504263</v>
      </c>
      <c r="L55" s="178">
        <f t="shared" si="19"/>
        <v>-21661.553676002077</v>
      </c>
      <c r="M55" s="170">
        <f t="shared" si="7"/>
        <v>-1727.2604941812408</v>
      </c>
      <c r="N55" s="171">
        <f t="shared" si="8"/>
        <v>-23388.814170183319</v>
      </c>
      <c r="O55" s="170">
        <f t="shared" si="9"/>
        <v>0</v>
      </c>
      <c r="P55" s="170">
        <f t="shared" si="10"/>
        <v>0</v>
      </c>
      <c r="Q55" s="170">
        <v>0</v>
      </c>
      <c r="R55" s="171">
        <f t="shared" si="11"/>
        <v>-23388.814170183319</v>
      </c>
    </row>
    <row r="56" spans="1:18" s="184" customFormat="1" x14ac:dyDescent="0.25">
      <c r="A56" s="94">
        <v>1</v>
      </c>
      <c r="B56" s="179">
        <f t="shared" si="4"/>
        <v>45292</v>
      </c>
      <c r="C56" s="180">
        <f t="shared" ref="C56:D67" si="20">+C32</f>
        <v>45327</v>
      </c>
      <c r="D56" s="180">
        <f t="shared" si="20"/>
        <v>45348</v>
      </c>
      <c r="E56" s="181" t="s">
        <v>14</v>
      </c>
      <c r="F56" s="182">
        <v>9</v>
      </c>
      <c r="G56" s="165">
        <v>1129</v>
      </c>
      <c r="H56" s="166">
        <f t="shared" si="5"/>
        <v>1702.5353974612706</v>
      </c>
      <c r="I56" s="166">
        <f t="shared" si="1"/>
        <v>1533.3045093675044</v>
      </c>
      <c r="J56" s="167">
        <f>+$G56*I56</f>
        <v>1731100.7910759123</v>
      </c>
      <c r="K56" s="168">
        <f t="shared" si="13"/>
        <v>1922162.4637337744</v>
      </c>
      <c r="L56" s="169">
        <f t="shared" si="14"/>
        <v>-191061.67265786207</v>
      </c>
      <c r="M56" s="170">
        <f t="shared" si="7"/>
        <v>-15234.977327582974</v>
      </c>
      <c r="N56" s="171">
        <f t="shared" si="8"/>
        <v>-206296.64998544505</v>
      </c>
      <c r="O56" s="170">
        <f t="shared" si="9"/>
        <v>0</v>
      </c>
      <c r="P56" s="170">
        <f t="shared" si="10"/>
        <v>0</v>
      </c>
      <c r="Q56" s="170">
        <v>0</v>
      </c>
      <c r="R56" s="171">
        <f t="shared" si="11"/>
        <v>-206296.64998544505</v>
      </c>
    </row>
    <row r="57" spans="1:18" x14ac:dyDescent="0.25">
      <c r="A57" s="128">
        <v>2</v>
      </c>
      <c r="B57" s="163">
        <f t="shared" si="4"/>
        <v>45323</v>
      </c>
      <c r="C57" s="183">
        <f t="shared" si="20"/>
        <v>45356</v>
      </c>
      <c r="D57" s="183">
        <f t="shared" si="20"/>
        <v>45376</v>
      </c>
      <c r="E57" s="172" t="s">
        <v>14</v>
      </c>
      <c r="F57" s="128">
        <v>9</v>
      </c>
      <c r="G57" s="165">
        <v>739</v>
      </c>
      <c r="H57" s="166">
        <f t="shared" si="5"/>
        <v>1702.5353974612706</v>
      </c>
      <c r="I57" s="166">
        <f t="shared" si="1"/>
        <v>1533.3045093675044</v>
      </c>
      <c r="J57" s="167">
        <f t="shared" si="2"/>
        <v>1133112.0324225856</v>
      </c>
      <c r="K57" s="168">
        <f t="shared" si="13"/>
        <v>1258173.6587238789</v>
      </c>
      <c r="L57" s="169">
        <f t="shared" si="14"/>
        <v>-125061.62630129326</v>
      </c>
      <c r="M57" s="170">
        <f t="shared" si="7"/>
        <v>-9972.2305093745072</v>
      </c>
      <c r="N57" s="171">
        <f t="shared" si="8"/>
        <v>-135033.85681066776</v>
      </c>
      <c r="O57" s="170">
        <f t="shared" si="9"/>
        <v>0</v>
      </c>
      <c r="P57" s="170">
        <f t="shared" si="10"/>
        <v>0</v>
      </c>
      <c r="Q57" s="170">
        <v>0</v>
      </c>
      <c r="R57" s="171">
        <f t="shared" si="11"/>
        <v>-135033.85681066776</v>
      </c>
    </row>
    <row r="58" spans="1:18" x14ac:dyDescent="0.25">
      <c r="A58" s="128">
        <v>3</v>
      </c>
      <c r="B58" s="163">
        <f t="shared" si="4"/>
        <v>45352</v>
      </c>
      <c r="C58" s="183">
        <f t="shared" si="20"/>
        <v>45385</v>
      </c>
      <c r="D58" s="183">
        <f t="shared" si="20"/>
        <v>45406</v>
      </c>
      <c r="E58" s="172" t="s">
        <v>14</v>
      </c>
      <c r="F58" s="128">
        <v>9</v>
      </c>
      <c r="G58" s="165">
        <v>642</v>
      </c>
      <c r="H58" s="166">
        <f t="shared" si="5"/>
        <v>1702.5353974612706</v>
      </c>
      <c r="I58" s="166">
        <f t="shared" si="1"/>
        <v>1533.3045093675044</v>
      </c>
      <c r="J58" s="167">
        <f t="shared" si="2"/>
        <v>984381.49501393782</v>
      </c>
      <c r="K58" s="168">
        <f t="shared" si="13"/>
        <v>1093027.7251701357</v>
      </c>
      <c r="L58" s="169">
        <f>+J58-K58</f>
        <v>-108646.23015619791</v>
      </c>
      <c r="M58" s="170">
        <f t="shared" si="7"/>
        <v>-8663.2909161277857</v>
      </c>
      <c r="N58" s="171">
        <f t="shared" si="8"/>
        <v>-117309.5210723257</v>
      </c>
      <c r="O58" s="170">
        <f t="shared" si="9"/>
        <v>0</v>
      </c>
      <c r="P58" s="170">
        <f t="shared" si="10"/>
        <v>0</v>
      </c>
      <c r="Q58" s="170">
        <v>0</v>
      </c>
      <c r="R58" s="171">
        <f t="shared" si="11"/>
        <v>-117309.5210723257</v>
      </c>
    </row>
    <row r="59" spans="1:18" x14ac:dyDescent="0.25">
      <c r="A59" s="94">
        <v>4</v>
      </c>
      <c r="B59" s="163">
        <f t="shared" si="4"/>
        <v>45383</v>
      </c>
      <c r="C59" s="183">
        <f t="shared" si="20"/>
        <v>45415</v>
      </c>
      <c r="D59" s="183">
        <f t="shared" si="20"/>
        <v>45436</v>
      </c>
      <c r="E59" s="172" t="s">
        <v>14</v>
      </c>
      <c r="F59" s="128">
        <v>9</v>
      </c>
      <c r="G59" s="165">
        <v>581</v>
      </c>
      <c r="H59" s="166">
        <f t="shared" si="5"/>
        <v>1702.5353974612706</v>
      </c>
      <c r="I59" s="166">
        <f t="shared" si="1"/>
        <v>1533.3045093675044</v>
      </c>
      <c r="J59" s="167">
        <f t="shared" si="2"/>
        <v>890849.91994251998</v>
      </c>
      <c r="K59" s="168">
        <f t="shared" si="13"/>
        <v>989173.06592499826</v>
      </c>
      <c r="L59" s="169">
        <f t="shared" ref="L59:L81" si="21">+J59-K59</f>
        <v>-98323.14598247828</v>
      </c>
      <c r="M59" s="170">
        <f t="shared" si="7"/>
        <v>-7840.143336869538</v>
      </c>
      <c r="N59" s="171">
        <f t="shared" si="8"/>
        <v>-106163.28931934782</v>
      </c>
      <c r="O59" s="170">
        <f t="shared" si="9"/>
        <v>0</v>
      </c>
      <c r="P59" s="170">
        <f t="shared" si="10"/>
        <v>0</v>
      </c>
      <c r="Q59" s="170">
        <v>0</v>
      </c>
      <c r="R59" s="171">
        <f t="shared" si="11"/>
        <v>-106163.28931934782</v>
      </c>
    </row>
    <row r="60" spans="1:18" x14ac:dyDescent="0.25">
      <c r="A60" s="128">
        <v>5</v>
      </c>
      <c r="B60" s="163">
        <f t="shared" si="4"/>
        <v>45413</v>
      </c>
      <c r="C60" s="183">
        <f t="shared" si="20"/>
        <v>45448</v>
      </c>
      <c r="D60" s="183">
        <f t="shared" si="20"/>
        <v>45467</v>
      </c>
      <c r="E60" s="52" t="s">
        <v>14</v>
      </c>
      <c r="F60" s="128">
        <v>9</v>
      </c>
      <c r="G60" s="165">
        <v>753</v>
      </c>
      <c r="H60" s="166">
        <f t="shared" si="5"/>
        <v>1702.5353974612706</v>
      </c>
      <c r="I60" s="166">
        <f t="shared" si="1"/>
        <v>1533.3045093675044</v>
      </c>
      <c r="J60" s="167">
        <f t="shared" si="2"/>
        <v>1154578.2955537308</v>
      </c>
      <c r="K60" s="168">
        <f t="shared" si="13"/>
        <v>1282009.1542883366</v>
      </c>
      <c r="L60" s="169">
        <f t="shared" si="21"/>
        <v>-127430.85873460583</v>
      </c>
      <c r="M60" s="170">
        <f t="shared" si="7"/>
        <v>-10161.14962592558</v>
      </c>
      <c r="N60" s="171">
        <f t="shared" si="8"/>
        <v>-137592.00836053141</v>
      </c>
      <c r="O60" s="170">
        <f t="shared" si="9"/>
        <v>0</v>
      </c>
      <c r="P60" s="170">
        <f t="shared" si="10"/>
        <v>0</v>
      </c>
      <c r="Q60" s="170">
        <v>0</v>
      </c>
      <c r="R60" s="171">
        <f t="shared" si="11"/>
        <v>-137592.00836053141</v>
      </c>
    </row>
    <row r="61" spans="1:18" x14ac:dyDescent="0.25">
      <c r="A61" s="128">
        <v>6</v>
      </c>
      <c r="B61" s="163">
        <f t="shared" si="4"/>
        <v>45444</v>
      </c>
      <c r="C61" s="183">
        <f t="shared" si="20"/>
        <v>45476</v>
      </c>
      <c r="D61" s="183">
        <f t="shared" si="20"/>
        <v>45497</v>
      </c>
      <c r="E61" s="52" t="s">
        <v>14</v>
      </c>
      <c r="F61" s="128">
        <v>9</v>
      </c>
      <c r="G61" s="165">
        <v>1001</v>
      </c>
      <c r="H61" s="166">
        <f t="shared" si="5"/>
        <v>1702.5353974612706</v>
      </c>
      <c r="I61" s="166">
        <f t="shared" si="1"/>
        <v>1533.3045093675044</v>
      </c>
      <c r="J61" s="167">
        <f t="shared" si="2"/>
        <v>1534837.813876872</v>
      </c>
      <c r="K61" s="168">
        <f t="shared" si="13"/>
        <v>1704237.9328587318</v>
      </c>
      <c r="L61" s="173">
        <f t="shared" si="21"/>
        <v>-169400.11898185988</v>
      </c>
      <c r="M61" s="170">
        <f t="shared" si="7"/>
        <v>-13507.716833401733</v>
      </c>
      <c r="N61" s="171">
        <f t="shared" si="8"/>
        <v>-182907.83581526161</v>
      </c>
      <c r="O61" s="170">
        <f t="shared" si="9"/>
        <v>0</v>
      </c>
      <c r="P61" s="170">
        <f t="shared" si="10"/>
        <v>0</v>
      </c>
      <c r="Q61" s="170">
        <v>0</v>
      </c>
      <c r="R61" s="171">
        <f t="shared" si="11"/>
        <v>-182907.83581526161</v>
      </c>
    </row>
    <row r="62" spans="1:18" x14ac:dyDescent="0.25">
      <c r="A62" s="94">
        <v>7</v>
      </c>
      <c r="B62" s="163">
        <f t="shared" si="4"/>
        <v>45474</v>
      </c>
      <c r="C62" s="183">
        <f t="shared" si="20"/>
        <v>45509</v>
      </c>
      <c r="D62" s="183">
        <f t="shared" si="20"/>
        <v>45530</v>
      </c>
      <c r="E62" s="52" t="s">
        <v>14</v>
      </c>
      <c r="F62" s="128">
        <v>9</v>
      </c>
      <c r="G62" s="165">
        <v>961</v>
      </c>
      <c r="H62" s="166">
        <f t="shared" si="5"/>
        <v>1702.5353974612706</v>
      </c>
      <c r="I62" s="166">
        <f t="shared" si="1"/>
        <v>1533.3045093675044</v>
      </c>
      <c r="J62" s="167">
        <f t="shared" si="2"/>
        <v>1473505.6335021716</v>
      </c>
      <c r="K62" s="174">
        <f t="shared" si="13"/>
        <v>1636136.5169602809</v>
      </c>
      <c r="L62" s="173">
        <f t="shared" si="21"/>
        <v>-162630.88345810934</v>
      </c>
      <c r="M62" s="170">
        <f t="shared" si="7"/>
        <v>-12967.947928970096</v>
      </c>
      <c r="N62" s="171">
        <f t="shared" si="8"/>
        <v>-175598.83138707944</v>
      </c>
      <c r="O62" s="170">
        <f t="shared" si="9"/>
        <v>0</v>
      </c>
      <c r="P62" s="170">
        <f t="shared" si="10"/>
        <v>0</v>
      </c>
      <c r="Q62" s="170">
        <v>0</v>
      </c>
      <c r="R62" s="171">
        <f t="shared" si="11"/>
        <v>-175598.83138707944</v>
      </c>
    </row>
    <row r="63" spans="1:18" x14ac:dyDescent="0.25">
      <c r="A63" s="128">
        <v>8</v>
      </c>
      <c r="B63" s="163">
        <f t="shared" si="4"/>
        <v>45505</v>
      </c>
      <c r="C63" s="183">
        <f t="shared" si="20"/>
        <v>45539</v>
      </c>
      <c r="D63" s="183">
        <f t="shared" si="20"/>
        <v>45559</v>
      </c>
      <c r="E63" s="52" t="s">
        <v>14</v>
      </c>
      <c r="F63" s="128">
        <v>9</v>
      </c>
      <c r="G63" s="165">
        <v>1017</v>
      </c>
      <c r="H63" s="166">
        <f t="shared" si="5"/>
        <v>1702.5353974612706</v>
      </c>
      <c r="I63" s="166">
        <f t="shared" si="1"/>
        <v>1533.3045093675044</v>
      </c>
      <c r="J63" s="167">
        <f t="shared" si="2"/>
        <v>1559370.686026752</v>
      </c>
      <c r="K63" s="174">
        <f t="shared" si="13"/>
        <v>1731478.4992181121</v>
      </c>
      <c r="L63" s="173">
        <f t="shared" si="21"/>
        <v>-172107.8131913601</v>
      </c>
      <c r="M63" s="170">
        <f t="shared" si="7"/>
        <v>-13723.624395174389</v>
      </c>
      <c r="N63" s="171">
        <f t="shared" si="8"/>
        <v>-185831.43758653448</v>
      </c>
      <c r="O63" s="170">
        <f t="shared" si="9"/>
        <v>0</v>
      </c>
      <c r="P63" s="170">
        <f t="shared" si="10"/>
        <v>0</v>
      </c>
      <c r="Q63" s="170">
        <v>0</v>
      </c>
      <c r="R63" s="171">
        <f t="shared" si="11"/>
        <v>-185831.43758653448</v>
      </c>
    </row>
    <row r="64" spans="1:18" x14ac:dyDescent="0.25">
      <c r="A64" s="128">
        <v>9</v>
      </c>
      <c r="B64" s="163">
        <f t="shared" si="4"/>
        <v>45536</v>
      </c>
      <c r="C64" s="183">
        <f t="shared" si="20"/>
        <v>45568</v>
      </c>
      <c r="D64" s="183">
        <f t="shared" si="20"/>
        <v>45589</v>
      </c>
      <c r="E64" s="52" t="s">
        <v>14</v>
      </c>
      <c r="F64" s="128">
        <v>9</v>
      </c>
      <c r="G64" s="165">
        <v>856</v>
      </c>
      <c r="H64" s="166">
        <f t="shared" si="5"/>
        <v>1702.5353974612706</v>
      </c>
      <c r="I64" s="166">
        <f t="shared" ref="I64:I107" si="22">$J$3</f>
        <v>1533.3045093675044</v>
      </c>
      <c r="J64" s="167">
        <f t="shared" si="2"/>
        <v>1312508.6600185838</v>
      </c>
      <c r="K64" s="174">
        <f t="shared" si="13"/>
        <v>1457370.3002268476</v>
      </c>
      <c r="L64" s="173">
        <f t="shared" si="21"/>
        <v>-144861.64020826388</v>
      </c>
      <c r="M64" s="170">
        <f t="shared" si="7"/>
        <v>-11551.054554837046</v>
      </c>
      <c r="N64" s="171">
        <f t="shared" si="8"/>
        <v>-156412.69476310094</v>
      </c>
      <c r="O64" s="170">
        <f t="shared" si="9"/>
        <v>0</v>
      </c>
      <c r="P64" s="170">
        <f t="shared" si="10"/>
        <v>0</v>
      </c>
      <c r="Q64" s="170">
        <v>0</v>
      </c>
      <c r="R64" s="171">
        <f t="shared" si="11"/>
        <v>-156412.69476310094</v>
      </c>
    </row>
    <row r="65" spans="1:18" x14ac:dyDescent="0.25">
      <c r="A65" s="94">
        <v>10</v>
      </c>
      <c r="B65" s="163">
        <f t="shared" si="4"/>
        <v>45566</v>
      </c>
      <c r="C65" s="183">
        <f t="shared" si="20"/>
        <v>45601</v>
      </c>
      <c r="D65" s="183">
        <f t="shared" si="20"/>
        <v>45621</v>
      </c>
      <c r="E65" s="52" t="s">
        <v>14</v>
      </c>
      <c r="F65" s="128">
        <v>9</v>
      </c>
      <c r="G65" s="165">
        <v>786</v>
      </c>
      <c r="H65" s="166">
        <f t="shared" si="5"/>
        <v>1702.5353974612706</v>
      </c>
      <c r="I65" s="166">
        <f t="shared" si="22"/>
        <v>1533.3045093675044</v>
      </c>
      <c r="J65" s="167">
        <f t="shared" si="2"/>
        <v>1205177.3443628585</v>
      </c>
      <c r="K65" s="174">
        <f t="shared" si="13"/>
        <v>1338192.8224045588</v>
      </c>
      <c r="L65" s="173">
        <f t="shared" si="21"/>
        <v>-133015.47804170032</v>
      </c>
      <c r="M65" s="170">
        <f t="shared" si="7"/>
        <v>-10606.45897208168</v>
      </c>
      <c r="N65" s="171">
        <f t="shared" si="8"/>
        <v>-143621.93701378201</v>
      </c>
      <c r="O65" s="170">
        <f t="shared" si="9"/>
        <v>0</v>
      </c>
      <c r="P65" s="170">
        <f t="shared" si="10"/>
        <v>0</v>
      </c>
      <c r="Q65" s="170">
        <v>0</v>
      </c>
      <c r="R65" s="171">
        <f t="shared" si="11"/>
        <v>-143621.93701378201</v>
      </c>
    </row>
    <row r="66" spans="1:18" x14ac:dyDescent="0.25">
      <c r="A66" s="128">
        <v>11</v>
      </c>
      <c r="B66" s="163">
        <f t="shared" si="4"/>
        <v>45597</v>
      </c>
      <c r="C66" s="183">
        <f t="shared" si="20"/>
        <v>45630</v>
      </c>
      <c r="D66" s="183">
        <f t="shared" si="20"/>
        <v>45650</v>
      </c>
      <c r="E66" s="52" t="s">
        <v>14</v>
      </c>
      <c r="F66" s="128">
        <v>9</v>
      </c>
      <c r="G66" s="165">
        <v>463</v>
      </c>
      <c r="H66" s="166">
        <f t="shared" si="5"/>
        <v>1702.5353974612706</v>
      </c>
      <c r="I66" s="166">
        <f t="shared" si="22"/>
        <v>1533.3045093675044</v>
      </c>
      <c r="J66" s="167">
        <f t="shared" si="2"/>
        <v>709919.98783715453</v>
      </c>
      <c r="K66" s="174">
        <f t="shared" si="13"/>
        <v>788273.88902456826</v>
      </c>
      <c r="L66" s="173">
        <f t="shared" si="21"/>
        <v>-78353.901187413721</v>
      </c>
      <c r="M66" s="170">
        <f t="shared" si="7"/>
        <v>-6247.8250687962072</v>
      </c>
      <c r="N66" s="171">
        <f t="shared" si="8"/>
        <v>-84601.726256209935</v>
      </c>
      <c r="O66" s="170">
        <f t="shared" si="9"/>
        <v>0</v>
      </c>
      <c r="P66" s="170">
        <f t="shared" si="10"/>
        <v>0</v>
      </c>
      <c r="Q66" s="170">
        <v>0</v>
      </c>
      <c r="R66" s="171">
        <f t="shared" si="11"/>
        <v>-84601.726256209935</v>
      </c>
    </row>
    <row r="67" spans="1:18" s="187" customFormat="1" x14ac:dyDescent="0.25">
      <c r="A67" s="128">
        <v>12</v>
      </c>
      <c r="B67" s="185">
        <f t="shared" si="4"/>
        <v>45627</v>
      </c>
      <c r="C67" s="183">
        <f t="shared" si="20"/>
        <v>45660</v>
      </c>
      <c r="D67" s="183">
        <f t="shared" si="20"/>
        <v>45681</v>
      </c>
      <c r="E67" s="186" t="s">
        <v>14</v>
      </c>
      <c r="F67" s="139">
        <v>9</v>
      </c>
      <c r="G67" s="165">
        <v>725</v>
      </c>
      <c r="H67" s="175">
        <f t="shared" si="5"/>
        <v>1702.5353974612706</v>
      </c>
      <c r="I67" s="175">
        <f t="shared" si="22"/>
        <v>1533.3045093675044</v>
      </c>
      <c r="J67" s="176">
        <f t="shared" si="2"/>
        <v>1111645.7692914407</v>
      </c>
      <c r="K67" s="177">
        <f t="shared" si="13"/>
        <v>1234338.1631594212</v>
      </c>
      <c r="L67" s="178">
        <f t="shared" si="21"/>
        <v>-122692.39386798046</v>
      </c>
      <c r="M67" s="170">
        <f t="shared" si="7"/>
        <v>-9783.3113928234343</v>
      </c>
      <c r="N67" s="171">
        <f t="shared" si="8"/>
        <v>-132475.70526080389</v>
      </c>
      <c r="O67" s="170">
        <f t="shared" si="9"/>
        <v>0</v>
      </c>
      <c r="P67" s="170">
        <f t="shared" si="10"/>
        <v>0</v>
      </c>
      <c r="Q67" s="170">
        <v>0</v>
      </c>
      <c r="R67" s="171">
        <f t="shared" si="11"/>
        <v>-132475.70526080389</v>
      </c>
    </row>
    <row r="68" spans="1:18" x14ac:dyDescent="0.25">
      <c r="A68" s="94">
        <v>1</v>
      </c>
      <c r="B68" s="163">
        <f t="shared" si="4"/>
        <v>45292</v>
      </c>
      <c r="C68" s="180">
        <f t="shared" ref="C68:D79" si="23">+C56</f>
        <v>45327</v>
      </c>
      <c r="D68" s="180">
        <f t="shared" si="23"/>
        <v>45348</v>
      </c>
      <c r="E68" s="164" t="s">
        <v>87</v>
      </c>
      <c r="F68" s="94">
        <v>9</v>
      </c>
      <c r="G68" s="165">
        <v>58</v>
      </c>
      <c r="H68" s="166">
        <f t="shared" si="5"/>
        <v>1702.5353974612706</v>
      </c>
      <c r="I68" s="166">
        <f t="shared" si="22"/>
        <v>1533.3045093675044</v>
      </c>
      <c r="J68" s="167">
        <f t="shared" si="2"/>
        <v>88931.661543315247</v>
      </c>
      <c r="K68" s="168">
        <f t="shared" si="13"/>
        <v>98747.05305275369</v>
      </c>
      <c r="L68" s="169">
        <f t="shared" si="21"/>
        <v>-9815.3915094384429</v>
      </c>
      <c r="M68" s="170">
        <f t="shared" si="7"/>
        <v>-782.66491142587461</v>
      </c>
      <c r="N68" s="171">
        <f t="shared" si="8"/>
        <v>-10598.056420864317</v>
      </c>
      <c r="O68" s="170">
        <f t="shared" si="9"/>
        <v>0</v>
      </c>
      <c r="P68" s="170">
        <f t="shared" si="10"/>
        <v>0</v>
      </c>
      <c r="Q68" s="170">
        <v>0</v>
      </c>
      <c r="R68" s="171">
        <f t="shared" si="11"/>
        <v>-10598.056420864317</v>
      </c>
    </row>
    <row r="69" spans="1:18" x14ac:dyDescent="0.25">
      <c r="A69" s="128">
        <v>2</v>
      </c>
      <c r="B69" s="163">
        <f t="shared" si="4"/>
        <v>45323</v>
      </c>
      <c r="C69" s="183">
        <f t="shared" si="23"/>
        <v>45356</v>
      </c>
      <c r="D69" s="183">
        <f t="shared" si="23"/>
        <v>45376</v>
      </c>
      <c r="E69" s="172" t="s">
        <v>87</v>
      </c>
      <c r="F69" s="128">
        <v>9</v>
      </c>
      <c r="G69" s="165">
        <v>36</v>
      </c>
      <c r="H69" s="166">
        <f t="shared" si="5"/>
        <v>1702.5353974612706</v>
      </c>
      <c r="I69" s="166">
        <f t="shared" si="22"/>
        <v>1533.3045093675044</v>
      </c>
      <c r="J69" s="167">
        <f t="shared" si="2"/>
        <v>55198.962337230158</v>
      </c>
      <c r="K69" s="168">
        <f t="shared" si="13"/>
        <v>61291.274308605738</v>
      </c>
      <c r="L69" s="169">
        <f t="shared" si="21"/>
        <v>-6092.3119713755805</v>
      </c>
      <c r="M69" s="170">
        <f t="shared" si="7"/>
        <v>-485.79201398847397</v>
      </c>
      <c r="N69" s="171">
        <f t="shared" si="8"/>
        <v>-6578.1039853640541</v>
      </c>
      <c r="O69" s="170">
        <f t="shared" si="9"/>
        <v>0</v>
      </c>
      <c r="P69" s="170">
        <f t="shared" si="10"/>
        <v>0</v>
      </c>
      <c r="Q69" s="170">
        <v>0</v>
      </c>
      <c r="R69" s="171">
        <f t="shared" si="11"/>
        <v>-6578.1039853640541</v>
      </c>
    </row>
    <row r="70" spans="1:18" x14ac:dyDescent="0.25">
      <c r="A70" s="128">
        <v>3</v>
      </c>
      <c r="B70" s="163">
        <f t="shared" si="4"/>
        <v>45352</v>
      </c>
      <c r="C70" s="183">
        <f t="shared" si="23"/>
        <v>45385</v>
      </c>
      <c r="D70" s="183">
        <f t="shared" si="23"/>
        <v>45406</v>
      </c>
      <c r="E70" s="172" t="s">
        <v>87</v>
      </c>
      <c r="F70" s="128">
        <v>9</v>
      </c>
      <c r="G70" s="165">
        <v>29</v>
      </c>
      <c r="H70" s="166">
        <f t="shared" si="5"/>
        <v>1702.5353974612706</v>
      </c>
      <c r="I70" s="166">
        <f t="shared" si="22"/>
        <v>1533.3045093675044</v>
      </c>
      <c r="J70" s="167">
        <f t="shared" si="2"/>
        <v>44465.830771657624</v>
      </c>
      <c r="K70" s="168">
        <f t="shared" si="13"/>
        <v>49373.526526376845</v>
      </c>
      <c r="L70" s="169">
        <f>+J70-K70</f>
        <v>-4907.6957547192214</v>
      </c>
      <c r="M70" s="170">
        <f t="shared" si="7"/>
        <v>-391.3324557129373</v>
      </c>
      <c r="N70" s="171">
        <f t="shared" si="8"/>
        <v>-5299.0282104321586</v>
      </c>
      <c r="O70" s="170">
        <f t="shared" si="9"/>
        <v>0</v>
      </c>
      <c r="P70" s="170">
        <f t="shared" si="10"/>
        <v>0</v>
      </c>
      <c r="Q70" s="170">
        <v>0</v>
      </c>
      <c r="R70" s="171">
        <f t="shared" si="11"/>
        <v>-5299.0282104321586</v>
      </c>
    </row>
    <row r="71" spans="1:18" x14ac:dyDescent="0.25">
      <c r="A71" s="94">
        <v>4</v>
      </c>
      <c r="B71" s="163">
        <f t="shared" si="4"/>
        <v>45383</v>
      </c>
      <c r="C71" s="183">
        <f t="shared" si="23"/>
        <v>45415</v>
      </c>
      <c r="D71" s="183">
        <f t="shared" si="23"/>
        <v>45436</v>
      </c>
      <c r="E71" s="172" t="s">
        <v>87</v>
      </c>
      <c r="F71" s="128">
        <v>9</v>
      </c>
      <c r="G71" s="165">
        <v>27</v>
      </c>
      <c r="H71" s="166">
        <f t="shared" si="5"/>
        <v>1702.5353974612706</v>
      </c>
      <c r="I71" s="166">
        <f t="shared" si="22"/>
        <v>1533.3045093675044</v>
      </c>
      <c r="J71" s="167">
        <f t="shared" si="2"/>
        <v>41399.221752922618</v>
      </c>
      <c r="K71" s="168">
        <f t="shared" si="13"/>
        <v>45968.455731454305</v>
      </c>
      <c r="L71" s="169">
        <f t="shared" ref="L71:L79" si="24">+J71-K71</f>
        <v>-4569.2339785316872</v>
      </c>
      <c r="M71" s="170">
        <f t="shared" si="7"/>
        <v>-364.3440104913555</v>
      </c>
      <c r="N71" s="171">
        <f t="shared" si="8"/>
        <v>-4933.5779890230424</v>
      </c>
      <c r="O71" s="170">
        <f t="shared" si="9"/>
        <v>0</v>
      </c>
      <c r="P71" s="170">
        <f t="shared" si="10"/>
        <v>0</v>
      </c>
      <c r="Q71" s="170">
        <v>0</v>
      </c>
      <c r="R71" s="171">
        <f t="shared" si="11"/>
        <v>-4933.5779890230424</v>
      </c>
    </row>
    <row r="72" spans="1:18" x14ac:dyDescent="0.25">
      <c r="A72" s="128">
        <v>5</v>
      </c>
      <c r="B72" s="163">
        <f t="shared" si="4"/>
        <v>45413</v>
      </c>
      <c r="C72" s="183">
        <f t="shared" si="23"/>
        <v>45448</v>
      </c>
      <c r="D72" s="183">
        <f t="shared" si="23"/>
        <v>45467</v>
      </c>
      <c r="E72" s="172" t="s">
        <v>87</v>
      </c>
      <c r="F72" s="128">
        <v>9</v>
      </c>
      <c r="G72" s="165">
        <v>36</v>
      </c>
      <c r="H72" s="166">
        <f t="shared" si="5"/>
        <v>1702.5353974612706</v>
      </c>
      <c r="I72" s="166">
        <f t="shared" si="22"/>
        <v>1533.3045093675044</v>
      </c>
      <c r="J72" s="167">
        <f t="shared" si="2"/>
        <v>55198.962337230158</v>
      </c>
      <c r="K72" s="168">
        <f t="shared" si="13"/>
        <v>61291.274308605738</v>
      </c>
      <c r="L72" s="169">
        <f t="shared" si="24"/>
        <v>-6092.3119713755805</v>
      </c>
      <c r="M72" s="170">
        <f t="shared" si="7"/>
        <v>-485.79201398847397</v>
      </c>
      <c r="N72" s="171">
        <f t="shared" si="8"/>
        <v>-6578.1039853640541</v>
      </c>
      <c r="O72" s="170">
        <f t="shared" si="9"/>
        <v>0</v>
      </c>
      <c r="P72" s="170">
        <f t="shared" si="10"/>
        <v>0</v>
      </c>
      <c r="Q72" s="170">
        <v>0</v>
      </c>
      <c r="R72" s="171">
        <f t="shared" si="11"/>
        <v>-6578.1039853640541</v>
      </c>
    </row>
    <row r="73" spans="1:18" x14ac:dyDescent="0.25">
      <c r="A73" s="128">
        <v>6</v>
      </c>
      <c r="B73" s="163">
        <f t="shared" si="4"/>
        <v>45444</v>
      </c>
      <c r="C73" s="183">
        <f t="shared" si="23"/>
        <v>45476</v>
      </c>
      <c r="D73" s="183">
        <f t="shared" si="23"/>
        <v>45497</v>
      </c>
      <c r="E73" s="172" t="s">
        <v>87</v>
      </c>
      <c r="F73" s="128">
        <v>9</v>
      </c>
      <c r="G73" s="165">
        <v>53</v>
      </c>
      <c r="H73" s="166">
        <f t="shared" si="5"/>
        <v>1702.5353974612706</v>
      </c>
      <c r="I73" s="166">
        <f t="shared" si="22"/>
        <v>1533.3045093675044</v>
      </c>
      <c r="J73" s="167">
        <f t="shared" si="2"/>
        <v>81265.138996477734</v>
      </c>
      <c r="K73" s="168">
        <f t="shared" si="13"/>
        <v>90234.376065447344</v>
      </c>
      <c r="L73" s="173">
        <f t="shared" si="24"/>
        <v>-8969.2370689696108</v>
      </c>
      <c r="M73" s="170">
        <f t="shared" si="7"/>
        <v>-715.19379837192002</v>
      </c>
      <c r="N73" s="171">
        <f t="shared" si="8"/>
        <v>-9684.4308673415308</v>
      </c>
      <c r="O73" s="170">
        <f t="shared" si="9"/>
        <v>0</v>
      </c>
      <c r="P73" s="170">
        <f t="shared" si="10"/>
        <v>0</v>
      </c>
      <c r="Q73" s="170">
        <v>0</v>
      </c>
      <c r="R73" s="171">
        <f t="shared" si="11"/>
        <v>-9684.4308673415308</v>
      </c>
    </row>
    <row r="74" spans="1:18" x14ac:dyDescent="0.25">
      <c r="A74" s="94">
        <v>7</v>
      </c>
      <c r="B74" s="163">
        <f t="shared" si="4"/>
        <v>45474</v>
      </c>
      <c r="C74" s="183">
        <f t="shared" si="23"/>
        <v>45509</v>
      </c>
      <c r="D74" s="183">
        <f t="shared" si="23"/>
        <v>45530</v>
      </c>
      <c r="E74" s="172" t="s">
        <v>87</v>
      </c>
      <c r="F74" s="128">
        <v>9</v>
      </c>
      <c r="G74" s="165">
        <v>53</v>
      </c>
      <c r="H74" s="166">
        <f t="shared" si="5"/>
        <v>1702.5353974612706</v>
      </c>
      <c r="I74" s="166">
        <f t="shared" si="22"/>
        <v>1533.3045093675044</v>
      </c>
      <c r="J74" s="167">
        <f t="shared" si="2"/>
        <v>81265.138996477734</v>
      </c>
      <c r="K74" s="174">
        <f t="shared" si="13"/>
        <v>90234.376065447344</v>
      </c>
      <c r="L74" s="173">
        <f t="shared" si="24"/>
        <v>-8969.2370689696108</v>
      </c>
      <c r="M74" s="170">
        <f t="shared" si="7"/>
        <v>-715.19379837192002</v>
      </c>
      <c r="N74" s="171">
        <f t="shared" si="8"/>
        <v>-9684.4308673415308</v>
      </c>
      <c r="O74" s="170">
        <f t="shared" si="9"/>
        <v>0</v>
      </c>
      <c r="P74" s="170">
        <f t="shared" si="10"/>
        <v>0</v>
      </c>
      <c r="Q74" s="170">
        <v>0</v>
      </c>
      <c r="R74" s="171">
        <f t="shared" si="11"/>
        <v>-9684.4308673415308</v>
      </c>
    </row>
    <row r="75" spans="1:18" x14ac:dyDescent="0.25">
      <c r="A75" s="128">
        <v>8</v>
      </c>
      <c r="B75" s="163">
        <f t="shared" si="4"/>
        <v>45505</v>
      </c>
      <c r="C75" s="183">
        <f t="shared" si="23"/>
        <v>45539</v>
      </c>
      <c r="D75" s="183">
        <f t="shared" si="23"/>
        <v>45559</v>
      </c>
      <c r="E75" s="172" t="s">
        <v>87</v>
      </c>
      <c r="F75" s="128">
        <v>9</v>
      </c>
      <c r="G75" s="165">
        <v>54</v>
      </c>
      <c r="H75" s="166">
        <f t="shared" si="5"/>
        <v>1702.5353974612706</v>
      </c>
      <c r="I75" s="166">
        <f t="shared" si="22"/>
        <v>1533.3045093675044</v>
      </c>
      <c r="J75" s="167">
        <f t="shared" si="2"/>
        <v>82798.443505845236</v>
      </c>
      <c r="K75" s="174">
        <f t="shared" si="13"/>
        <v>91936.911462908611</v>
      </c>
      <c r="L75" s="173">
        <f t="shared" si="24"/>
        <v>-9138.4679570633743</v>
      </c>
      <c r="M75" s="170">
        <f t="shared" si="7"/>
        <v>-728.68802098271101</v>
      </c>
      <c r="N75" s="171">
        <f t="shared" si="8"/>
        <v>-9867.1559780460848</v>
      </c>
      <c r="O75" s="170">
        <f t="shared" si="9"/>
        <v>0</v>
      </c>
      <c r="P75" s="170">
        <f t="shared" si="10"/>
        <v>0</v>
      </c>
      <c r="Q75" s="170">
        <v>0</v>
      </c>
      <c r="R75" s="171">
        <f t="shared" si="11"/>
        <v>-9867.1559780460848</v>
      </c>
    </row>
    <row r="76" spans="1:18" x14ac:dyDescent="0.25">
      <c r="A76" s="128">
        <v>9</v>
      </c>
      <c r="B76" s="163">
        <f t="shared" si="4"/>
        <v>45536</v>
      </c>
      <c r="C76" s="183">
        <f t="shared" si="23"/>
        <v>45568</v>
      </c>
      <c r="D76" s="183">
        <f t="shared" si="23"/>
        <v>45589</v>
      </c>
      <c r="E76" s="172" t="s">
        <v>87</v>
      </c>
      <c r="F76" s="128">
        <v>9</v>
      </c>
      <c r="G76" s="165">
        <v>48</v>
      </c>
      <c r="H76" s="166">
        <f t="shared" si="5"/>
        <v>1702.5353974612706</v>
      </c>
      <c r="I76" s="166">
        <f t="shared" si="22"/>
        <v>1533.3045093675044</v>
      </c>
      <c r="J76" s="167">
        <f t="shared" si="2"/>
        <v>73598.616449640205</v>
      </c>
      <c r="K76" s="174">
        <f t="shared" si="13"/>
        <v>81721.699078140984</v>
      </c>
      <c r="L76" s="173">
        <f t="shared" si="24"/>
        <v>-8123.0826285007788</v>
      </c>
      <c r="M76" s="170">
        <f t="shared" si="7"/>
        <v>-647.72268531796522</v>
      </c>
      <c r="N76" s="171">
        <f t="shared" si="8"/>
        <v>-8770.8053138187443</v>
      </c>
      <c r="O76" s="170">
        <f t="shared" si="9"/>
        <v>0</v>
      </c>
      <c r="P76" s="170">
        <f t="shared" si="10"/>
        <v>0</v>
      </c>
      <c r="Q76" s="170">
        <v>0</v>
      </c>
      <c r="R76" s="171">
        <f t="shared" si="11"/>
        <v>-8770.8053138187443</v>
      </c>
    </row>
    <row r="77" spans="1:18" x14ac:dyDescent="0.25">
      <c r="A77" s="94">
        <v>10</v>
      </c>
      <c r="B77" s="163">
        <f t="shared" si="4"/>
        <v>45566</v>
      </c>
      <c r="C77" s="183">
        <f t="shared" si="23"/>
        <v>45601</v>
      </c>
      <c r="D77" s="183">
        <f t="shared" si="23"/>
        <v>45621</v>
      </c>
      <c r="E77" s="172" t="s">
        <v>87</v>
      </c>
      <c r="F77" s="128">
        <v>9</v>
      </c>
      <c r="G77" s="165">
        <v>41</v>
      </c>
      <c r="H77" s="166">
        <f t="shared" si="5"/>
        <v>1702.5353974612706</v>
      </c>
      <c r="I77" s="166">
        <f t="shared" si="22"/>
        <v>1533.3045093675044</v>
      </c>
      <c r="J77" s="167">
        <f t="shared" si="2"/>
        <v>62865.484884067679</v>
      </c>
      <c r="K77" s="174">
        <f t="shared" si="13"/>
        <v>69803.951295912091</v>
      </c>
      <c r="L77" s="173">
        <f t="shared" si="24"/>
        <v>-6938.4664118444125</v>
      </c>
      <c r="M77" s="170">
        <f t="shared" si="7"/>
        <v>-553.26312704242866</v>
      </c>
      <c r="N77" s="171">
        <f t="shared" si="8"/>
        <v>-7491.7295388868415</v>
      </c>
      <c r="O77" s="170">
        <f t="shared" si="9"/>
        <v>0</v>
      </c>
      <c r="P77" s="170">
        <f t="shared" si="10"/>
        <v>0</v>
      </c>
      <c r="Q77" s="170">
        <v>0</v>
      </c>
      <c r="R77" s="171">
        <f t="shared" si="11"/>
        <v>-7491.7295388868415</v>
      </c>
    </row>
    <row r="78" spans="1:18" x14ac:dyDescent="0.25">
      <c r="A78" s="128">
        <v>11</v>
      </c>
      <c r="B78" s="163">
        <f t="shared" si="4"/>
        <v>45597</v>
      </c>
      <c r="C78" s="183">
        <f t="shared" si="23"/>
        <v>45630</v>
      </c>
      <c r="D78" s="183">
        <f t="shared" si="23"/>
        <v>45650</v>
      </c>
      <c r="E78" s="172" t="s">
        <v>87</v>
      </c>
      <c r="F78" s="128">
        <v>9</v>
      </c>
      <c r="G78" s="165">
        <v>22</v>
      </c>
      <c r="H78" s="166">
        <f t="shared" si="5"/>
        <v>1702.5353974612706</v>
      </c>
      <c r="I78" s="166">
        <f t="shared" si="22"/>
        <v>1533.3045093675044</v>
      </c>
      <c r="J78" s="167">
        <f t="shared" si="2"/>
        <v>33732.699206085097</v>
      </c>
      <c r="K78" s="174">
        <f>+$G78*H78</f>
        <v>37455.778744147952</v>
      </c>
      <c r="L78" s="173">
        <f t="shared" si="24"/>
        <v>-3723.0795380628551</v>
      </c>
      <c r="M78" s="170">
        <f t="shared" si="7"/>
        <v>-296.87289743740075</v>
      </c>
      <c r="N78" s="171">
        <f t="shared" si="8"/>
        <v>-4019.9524355002559</v>
      </c>
      <c r="O78" s="170">
        <f t="shared" si="9"/>
        <v>0</v>
      </c>
      <c r="P78" s="170">
        <f t="shared" si="10"/>
        <v>0</v>
      </c>
      <c r="Q78" s="170">
        <v>0</v>
      </c>
      <c r="R78" s="171">
        <f t="shared" si="11"/>
        <v>-4019.9524355002559</v>
      </c>
    </row>
    <row r="79" spans="1:18" s="187" customFormat="1" x14ac:dyDescent="0.25">
      <c r="A79" s="128">
        <v>12</v>
      </c>
      <c r="B79" s="185">
        <f t="shared" si="4"/>
        <v>45627</v>
      </c>
      <c r="C79" s="188">
        <f t="shared" si="23"/>
        <v>45660</v>
      </c>
      <c r="D79" s="188">
        <f t="shared" si="23"/>
        <v>45681</v>
      </c>
      <c r="E79" s="189" t="s">
        <v>87</v>
      </c>
      <c r="F79" s="139">
        <v>9</v>
      </c>
      <c r="G79" s="165">
        <v>37</v>
      </c>
      <c r="H79" s="175">
        <f t="shared" si="5"/>
        <v>1702.5353974612706</v>
      </c>
      <c r="I79" s="175">
        <f t="shared" si="22"/>
        <v>1533.3045093675044</v>
      </c>
      <c r="J79" s="176">
        <f t="shared" si="2"/>
        <v>56732.26684659766</v>
      </c>
      <c r="K79" s="177">
        <f>+$G79*H79</f>
        <v>62993.809706067012</v>
      </c>
      <c r="L79" s="178">
        <f t="shared" si="24"/>
        <v>-6261.5428594693512</v>
      </c>
      <c r="M79" s="170">
        <f t="shared" si="7"/>
        <v>-499.2862365992649</v>
      </c>
      <c r="N79" s="171">
        <f t="shared" si="8"/>
        <v>-6760.8290960686163</v>
      </c>
      <c r="O79" s="170">
        <f t="shared" si="9"/>
        <v>0</v>
      </c>
      <c r="P79" s="170">
        <f t="shared" si="10"/>
        <v>0</v>
      </c>
      <c r="Q79" s="170">
        <v>0</v>
      </c>
      <c r="R79" s="171">
        <f t="shared" si="11"/>
        <v>-6760.8290960686163</v>
      </c>
    </row>
    <row r="80" spans="1:18" s="50" customFormat="1" ht="12.75" customHeight="1" x14ac:dyDescent="0.25">
      <c r="A80" s="94">
        <v>1</v>
      </c>
      <c r="B80" s="163">
        <f t="shared" si="4"/>
        <v>45292</v>
      </c>
      <c r="C80" s="180">
        <f t="shared" ref="C80:D91" si="25">+C56</f>
        <v>45327</v>
      </c>
      <c r="D80" s="180">
        <f t="shared" si="25"/>
        <v>45348</v>
      </c>
      <c r="E80" s="164" t="s">
        <v>9</v>
      </c>
      <c r="F80" s="94">
        <v>9</v>
      </c>
      <c r="G80" s="165">
        <v>75</v>
      </c>
      <c r="H80" s="166">
        <f t="shared" si="5"/>
        <v>1702.5353974612706</v>
      </c>
      <c r="I80" s="166">
        <f t="shared" si="22"/>
        <v>1533.3045093675044</v>
      </c>
      <c r="J80" s="167">
        <f t="shared" si="2"/>
        <v>114997.83820256282</v>
      </c>
      <c r="K80" s="168">
        <f t="shared" si="13"/>
        <v>127690.15480959529</v>
      </c>
      <c r="L80" s="169">
        <f t="shared" si="21"/>
        <v>-12692.316607032466</v>
      </c>
      <c r="M80" s="170">
        <f t="shared" si="7"/>
        <v>-1012.0666958093208</v>
      </c>
      <c r="N80" s="171">
        <f t="shared" si="8"/>
        <v>-13704.383302841787</v>
      </c>
      <c r="O80" s="170">
        <f t="shared" si="9"/>
        <v>0</v>
      </c>
      <c r="P80" s="170">
        <f t="shared" si="10"/>
        <v>0</v>
      </c>
      <c r="Q80" s="170">
        <v>0</v>
      </c>
      <c r="R80" s="171">
        <f t="shared" si="11"/>
        <v>-13704.383302841787</v>
      </c>
    </row>
    <row r="81" spans="1:18" x14ac:dyDescent="0.25">
      <c r="A81" s="128">
        <v>2</v>
      </c>
      <c r="B81" s="163">
        <f t="shared" si="4"/>
        <v>45323</v>
      </c>
      <c r="C81" s="183">
        <f t="shared" si="25"/>
        <v>45356</v>
      </c>
      <c r="D81" s="183">
        <f t="shared" si="25"/>
        <v>45376</v>
      </c>
      <c r="E81" s="172" t="s">
        <v>9</v>
      </c>
      <c r="F81" s="128">
        <v>9</v>
      </c>
      <c r="G81" s="165">
        <v>54</v>
      </c>
      <c r="H81" s="166">
        <f t="shared" si="5"/>
        <v>1702.5353974612706</v>
      </c>
      <c r="I81" s="166">
        <f t="shared" si="22"/>
        <v>1533.3045093675044</v>
      </c>
      <c r="J81" s="167">
        <f t="shared" si="2"/>
        <v>82798.443505845236</v>
      </c>
      <c r="K81" s="168">
        <f t="shared" si="13"/>
        <v>91936.911462908611</v>
      </c>
      <c r="L81" s="169">
        <f t="shared" si="21"/>
        <v>-9138.4679570633743</v>
      </c>
      <c r="M81" s="170">
        <f t="shared" si="7"/>
        <v>-728.68802098271101</v>
      </c>
      <c r="N81" s="171">
        <f t="shared" si="8"/>
        <v>-9867.1559780460848</v>
      </c>
      <c r="O81" s="170">
        <f t="shared" si="9"/>
        <v>0</v>
      </c>
      <c r="P81" s="170">
        <f t="shared" si="10"/>
        <v>0</v>
      </c>
      <c r="Q81" s="170">
        <v>0</v>
      </c>
      <c r="R81" s="171">
        <f t="shared" si="11"/>
        <v>-9867.1559780460848</v>
      </c>
    </row>
    <row r="82" spans="1:18" x14ac:dyDescent="0.25">
      <c r="A82" s="128">
        <v>3</v>
      </c>
      <c r="B82" s="163">
        <f t="shared" si="4"/>
        <v>45352</v>
      </c>
      <c r="C82" s="183">
        <f t="shared" si="25"/>
        <v>45385</v>
      </c>
      <c r="D82" s="183">
        <f t="shared" si="25"/>
        <v>45406</v>
      </c>
      <c r="E82" s="172" t="s">
        <v>9</v>
      </c>
      <c r="F82" s="128">
        <v>9</v>
      </c>
      <c r="G82" s="165">
        <v>49</v>
      </c>
      <c r="H82" s="166">
        <f t="shared" si="5"/>
        <v>1702.5353974612706</v>
      </c>
      <c r="I82" s="166">
        <f t="shared" si="22"/>
        <v>1533.3045093675044</v>
      </c>
      <c r="J82" s="167">
        <f t="shared" si="2"/>
        <v>75131.920959007708</v>
      </c>
      <c r="K82" s="168">
        <f t="shared" si="13"/>
        <v>83424.234475602265</v>
      </c>
      <c r="L82" s="169">
        <f>+J82-K82</f>
        <v>-8292.3135165945569</v>
      </c>
      <c r="M82" s="170">
        <f t="shared" si="7"/>
        <v>-661.2169079287562</v>
      </c>
      <c r="N82" s="171">
        <f t="shared" si="8"/>
        <v>-8953.5304245233128</v>
      </c>
      <c r="O82" s="170">
        <f t="shared" si="9"/>
        <v>0</v>
      </c>
      <c r="P82" s="170">
        <f t="shared" si="10"/>
        <v>0</v>
      </c>
      <c r="Q82" s="170">
        <v>0</v>
      </c>
      <c r="R82" s="171">
        <f t="shared" si="11"/>
        <v>-8953.5304245233128</v>
      </c>
    </row>
    <row r="83" spans="1:18" ht="12" customHeight="1" x14ac:dyDescent="0.25">
      <c r="A83" s="94">
        <v>4</v>
      </c>
      <c r="B83" s="163">
        <f t="shared" si="4"/>
        <v>45383</v>
      </c>
      <c r="C83" s="183">
        <f t="shared" si="25"/>
        <v>45415</v>
      </c>
      <c r="D83" s="183">
        <f t="shared" si="25"/>
        <v>45436</v>
      </c>
      <c r="E83" s="52" t="s">
        <v>9</v>
      </c>
      <c r="F83" s="128">
        <v>9</v>
      </c>
      <c r="G83" s="165">
        <v>43</v>
      </c>
      <c r="H83" s="166">
        <f t="shared" si="5"/>
        <v>1702.5353974612706</v>
      </c>
      <c r="I83" s="166">
        <f t="shared" si="22"/>
        <v>1533.3045093675044</v>
      </c>
      <c r="J83" s="167">
        <f t="shared" si="2"/>
        <v>65932.093902802691</v>
      </c>
      <c r="K83" s="168">
        <f t="shared" si="13"/>
        <v>73209.022090834638</v>
      </c>
      <c r="L83" s="169">
        <f t="shared" ref="L83:L93" si="26">+J83-K83</f>
        <v>-7276.9281880319468</v>
      </c>
      <c r="M83" s="170">
        <f t="shared" si="7"/>
        <v>-580.25157226401052</v>
      </c>
      <c r="N83" s="171">
        <f t="shared" si="8"/>
        <v>-7857.1797602959577</v>
      </c>
      <c r="O83" s="170">
        <f t="shared" si="9"/>
        <v>0</v>
      </c>
      <c r="P83" s="170">
        <f t="shared" si="10"/>
        <v>0</v>
      </c>
      <c r="Q83" s="170">
        <v>0</v>
      </c>
      <c r="R83" s="171">
        <f t="shared" si="11"/>
        <v>-7857.1797602959577</v>
      </c>
    </row>
    <row r="84" spans="1:18" ht="12" customHeight="1" x14ac:dyDescent="0.25">
      <c r="A84" s="128">
        <v>5</v>
      </c>
      <c r="B84" s="163">
        <f t="shared" si="4"/>
        <v>45413</v>
      </c>
      <c r="C84" s="183">
        <f t="shared" si="25"/>
        <v>45448</v>
      </c>
      <c r="D84" s="183">
        <f t="shared" si="25"/>
        <v>45467</v>
      </c>
      <c r="E84" s="52" t="s">
        <v>9</v>
      </c>
      <c r="F84" s="128">
        <v>9</v>
      </c>
      <c r="G84" s="165">
        <v>50</v>
      </c>
      <c r="H84" s="166">
        <f t="shared" si="5"/>
        <v>1702.5353974612706</v>
      </c>
      <c r="I84" s="166">
        <f t="shared" si="22"/>
        <v>1533.3045093675044</v>
      </c>
      <c r="J84" s="167">
        <f t="shared" si="2"/>
        <v>76665.225468375211</v>
      </c>
      <c r="K84" s="168">
        <f t="shared" si="13"/>
        <v>85126.769873063531</v>
      </c>
      <c r="L84" s="169">
        <f t="shared" si="26"/>
        <v>-8461.5444046883204</v>
      </c>
      <c r="M84" s="170">
        <f t="shared" si="7"/>
        <v>-674.71113053954718</v>
      </c>
      <c r="N84" s="171">
        <f t="shared" si="8"/>
        <v>-9136.2555352278669</v>
      </c>
      <c r="O84" s="170">
        <f t="shared" si="9"/>
        <v>0</v>
      </c>
      <c r="P84" s="170">
        <f t="shared" si="10"/>
        <v>0</v>
      </c>
      <c r="Q84" s="170">
        <v>0</v>
      </c>
      <c r="R84" s="171">
        <f t="shared" si="11"/>
        <v>-9136.2555352278669</v>
      </c>
    </row>
    <row r="85" spans="1:18" x14ac:dyDescent="0.25">
      <c r="A85" s="128">
        <v>6</v>
      </c>
      <c r="B85" s="163">
        <f t="shared" si="4"/>
        <v>45444</v>
      </c>
      <c r="C85" s="183">
        <f t="shared" si="25"/>
        <v>45476</v>
      </c>
      <c r="D85" s="183">
        <f t="shared" si="25"/>
        <v>45497</v>
      </c>
      <c r="E85" s="52" t="s">
        <v>9</v>
      </c>
      <c r="F85" s="128">
        <v>9</v>
      </c>
      <c r="G85" s="165">
        <v>59</v>
      </c>
      <c r="H85" s="166">
        <f t="shared" ref="H85:H148" si="27">+$K$3</f>
        <v>1702.5353974612706</v>
      </c>
      <c r="I85" s="166">
        <f t="shared" si="22"/>
        <v>1533.3045093675044</v>
      </c>
      <c r="J85" s="167">
        <f t="shared" si="2"/>
        <v>90464.96605268275</v>
      </c>
      <c r="K85" s="168">
        <f t="shared" si="13"/>
        <v>100449.58845021497</v>
      </c>
      <c r="L85" s="173">
        <f t="shared" si="26"/>
        <v>-9984.6223975322209</v>
      </c>
      <c r="M85" s="170">
        <f t="shared" ref="M85:M148" si="28">G85/$G$212*$M$14</f>
        <v>-796.15913403666559</v>
      </c>
      <c r="N85" s="171">
        <f t="shared" ref="N85:N148" si="29">SUM(L85:M85)</f>
        <v>-10780.781531568886</v>
      </c>
      <c r="O85" s="170">
        <f t="shared" ref="O85:O148" si="30">+$P$3</f>
        <v>0</v>
      </c>
      <c r="P85" s="170">
        <f t="shared" ref="P85:P148" si="31">+G85*O85</f>
        <v>0</v>
      </c>
      <c r="Q85" s="170">
        <v>0</v>
      </c>
      <c r="R85" s="171">
        <f t="shared" ref="R85:R148" si="32">+N85-Q85</f>
        <v>-10780.781531568886</v>
      </c>
    </row>
    <row r="86" spans="1:18" x14ac:dyDescent="0.25">
      <c r="A86" s="94">
        <v>7</v>
      </c>
      <c r="B86" s="163">
        <f t="shared" si="4"/>
        <v>45474</v>
      </c>
      <c r="C86" s="183">
        <f t="shared" si="25"/>
        <v>45509</v>
      </c>
      <c r="D86" s="183">
        <f t="shared" si="25"/>
        <v>45530</v>
      </c>
      <c r="E86" s="52" t="s">
        <v>9</v>
      </c>
      <c r="F86" s="128">
        <v>9</v>
      </c>
      <c r="G86" s="165">
        <v>60</v>
      </c>
      <c r="H86" s="166">
        <f t="shared" si="27"/>
        <v>1702.5353974612706</v>
      </c>
      <c r="I86" s="166">
        <f t="shared" si="22"/>
        <v>1533.3045093675044</v>
      </c>
      <c r="J86" s="167">
        <f t="shared" si="2"/>
        <v>91998.270562050267</v>
      </c>
      <c r="K86" s="174">
        <f t="shared" si="13"/>
        <v>102152.12384767624</v>
      </c>
      <c r="L86" s="173">
        <f t="shared" si="26"/>
        <v>-10153.85328562597</v>
      </c>
      <c r="M86" s="170">
        <f t="shared" si="28"/>
        <v>-809.65335664745658</v>
      </c>
      <c r="N86" s="171">
        <f t="shared" si="29"/>
        <v>-10963.506642273427</v>
      </c>
      <c r="O86" s="170">
        <f t="shared" si="30"/>
        <v>0</v>
      </c>
      <c r="P86" s="170">
        <f t="shared" si="31"/>
        <v>0</v>
      </c>
      <c r="Q86" s="170">
        <v>0</v>
      </c>
      <c r="R86" s="171">
        <f t="shared" si="32"/>
        <v>-10963.506642273427</v>
      </c>
    </row>
    <row r="87" spans="1:18" x14ac:dyDescent="0.25">
      <c r="A87" s="128">
        <v>8</v>
      </c>
      <c r="B87" s="163">
        <f t="shared" si="4"/>
        <v>45505</v>
      </c>
      <c r="C87" s="183">
        <f t="shared" si="25"/>
        <v>45539</v>
      </c>
      <c r="D87" s="183">
        <f t="shared" si="25"/>
        <v>45559</v>
      </c>
      <c r="E87" s="52" t="s">
        <v>9</v>
      </c>
      <c r="F87" s="128">
        <v>9</v>
      </c>
      <c r="G87" s="165">
        <v>56</v>
      </c>
      <c r="H87" s="166">
        <f t="shared" si="27"/>
        <v>1702.5353974612706</v>
      </c>
      <c r="I87" s="166">
        <f t="shared" si="22"/>
        <v>1533.3045093675044</v>
      </c>
      <c r="J87" s="167">
        <f t="shared" si="2"/>
        <v>85865.052524580242</v>
      </c>
      <c r="K87" s="174">
        <f t="shared" si="13"/>
        <v>95341.982257831158</v>
      </c>
      <c r="L87" s="173">
        <f t="shared" si="26"/>
        <v>-9476.9297332509159</v>
      </c>
      <c r="M87" s="170">
        <f t="shared" si="28"/>
        <v>-755.67646620429286</v>
      </c>
      <c r="N87" s="171">
        <f t="shared" si="29"/>
        <v>-10232.606199455209</v>
      </c>
      <c r="O87" s="170">
        <f t="shared" si="30"/>
        <v>0</v>
      </c>
      <c r="P87" s="170">
        <f t="shared" si="31"/>
        <v>0</v>
      </c>
      <c r="Q87" s="170">
        <v>0</v>
      </c>
      <c r="R87" s="171">
        <f t="shared" si="32"/>
        <v>-10232.606199455209</v>
      </c>
    </row>
    <row r="88" spans="1:18" x14ac:dyDescent="0.25">
      <c r="A88" s="128">
        <v>9</v>
      </c>
      <c r="B88" s="163">
        <f t="shared" si="4"/>
        <v>45536</v>
      </c>
      <c r="C88" s="183">
        <f t="shared" si="25"/>
        <v>45568</v>
      </c>
      <c r="D88" s="183">
        <f t="shared" si="25"/>
        <v>45589</v>
      </c>
      <c r="E88" s="52" t="s">
        <v>9</v>
      </c>
      <c r="F88" s="128">
        <v>9</v>
      </c>
      <c r="G88" s="165">
        <v>55</v>
      </c>
      <c r="H88" s="166">
        <f t="shared" si="27"/>
        <v>1702.5353974612706</v>
      </c>
      <c r="I88" s="166">
        <f t="shared" si="22"/>
        <v>1533.3045093675044</v>
      </c>
      <c r="J88" s="167">
        <f t="shared" si="2"/>
        <v>84331.748015212739</v>
      </c>
      <c r="K88" s="174">
        <f t="shared" si="13"/>
        <v>93639.446860369877</v>
      </c>
      <c r="L88" s="173">
        <f t="shared" si="26"/>
        <v>-9307.6988451571378</v>
      </c>
      <c r="M88" s="170">
        <f t="shared" si="28"/>
        <v>-742.18224359350188</v>
      </c>
      <c r="N88" s="171">
        <f t="shared" si="29"/>
        <v>-10049.881088750641</v>
      </c>
      <c r="O88" s="170">
        <f t="shared" si="30"/>
        <v>0</v>
      </c>
      <c r="P88" s="170">
        <f t="shared" si="31"/>
        <v>0</v>
      </c>
      <c r="Q88" s="170">
        <v>0</v>
      </c>
      <c r="R88" s="171">
        <f t="shared" si="32"/>
        <v>-10049.881088750641</v>
      </c>
    </row>
    <row r="89" spans="1:18" x14ac:dyDescent="0.25">
      <c r="A89" s="94">
        <v>10</v>
      </c>
      <c r="B89" s="163">
        <f t="shared" si="4"/>
        <v>45566</v>
      </c>
      <c r="C89" s="183">
        <f t="shared" si="25"/>
        <v>45601</v>
      </c>
      <c r="D89" s="183">
        <f t="shared" si="25"/>
        <v>45621</v>
      </c>
      <c r="E89" s="52" t="s">
        <v>9</v>
      </c>
      <c r="F89" s="128">
        <v>9</v>
      </c>
      <c r="G89" s="165">
        <v>51</v>
      </c>
      <c r="H89" s="166">
        <f t="shared" si="27"/>
        <v>1702.5353974612706</v>
      </c>
      <c r="I89" s="166">
        <f t="shared" si="22"/>
        <v>1533.3045093675044</v>
      </c>
      <c r="J89" s="167">
        <f t="shared" si="2"/>
        <v>78198.529977742728</v>
      </c>
      <c r="K89" s="174">
        <f t="shared" si="13"/>
        <v>86829.305270524797</v>
      </c>
      <c r="L89" s="173">
        <f t="shared" si="26"/>
        <v>-8630.7752927820693</v>
      </c>
      <c r="M89" s="170">
        <f t="shared" si="28"/>
        <v>-688.20535315033806</v>
      </c>
      <c r="N89" s="171">
        <f t="shared" si="29"/>
        <v>-9318.9806459324082</v>
      </c>
      <c r="O89" s="170">
        <f t="shared" si="30"/>
        <v>0</v>
      </c>
      <c r="P89" s="170">
        <f t="shared" si="31"/>
        <v>0</v>
      </c>
      <c r="Q89" s="170">
        <v>0</v>
      </c>
      <c r="R89" s="171">
        <f t="shared" si="32"/>
        <v>-9318.9806459324082</v>
      </c>
    </row>
    <row r="90" spans="1:18" x14ac:dyDescent="0.25">
      <c r="A90" s="128">
        <v>11</v>
      </c>
      <c r="B90" s="163">
        <f t="shared" si="4"/>
        <v>45597</v>
      </c>
      <c r="C90" s="183">
        <f t="shared" si="25"/>
        <v>45630</v>
      </c>
      <c r="D90" s="183">
        <f t="shared" si="25"/>
        <v>45650</v>
      </c>
      <c r="E90" s="52" t="s">
        <v>9</v>
      </c>
      <c r="F90" s="128">
        <v>9</v>
      </c>
      <c r="G90" s="165">
        <v>40</v>
      </c>
      <c r="H90" s="166">
        <f t="shared" si="27"/>
        <v>1702.5353974612706</v>
      </c>
      <c r="I90" s="166">
        <f t="shared" si="22"/>
        <v>1533.3045093675044</v>
      </c>
      <c r="J90" s="167">
        <f t="shared" si="2"/>
        <v>61332.180374700176</v>
      </c>
      <c r="K90" s="174">
        <f t="shared" si="13"/>
        <v>68101.415898450825</v>
      </c>
      <c r="L90" s="173">
        <f t="shared" si="26"/>
        <v>-6769.235523750649</v>
      </c>
      <c r="M90" s="170">
        <f t="shared" si="28"/>
        <v>-539.76890443163779</v>
      </c>
      <c r="N90" s="171">
        <f t="shared" si="29"/>
        <v>-7309.0044281822866</v>
      </c>
      <c r="O90" s="170">
        <f t="shared" si="30"/>
        <v>0</v>
      </c>
      <c r="P90" s="170">
        <f t="shared" si="31"/>
        <v>0</v>
      </c>
      <c r="Q90" s="170">
        <v>0</v>
      </c>
      <c r="R90" s="171">
        <f t="shared" si="32"/>
        <v>-7309.0044281822866</v>
      </c>
    </row>
    <row r="91" spans="1:18" s="187" customFormat="1" x14ac:dyDescent="0.25">
      <c r="A91" s="128">
        <v>12</v>
      </c>
      <c r="B91" s="185">
        <f t="shared" si="4"/>
        <v>45627</v>
      </c>
      <c r="C91" s="183">
        <f t="shared" si="25"/>
        <v>45660</v>
      </c>
      <c r="D91" s="183">
        <f t="shared" si="25"/>
        <v>45681</v>
      </c>
      <c r="E91" s="186" t="s">
        <v>9</v>
      </c>
      <c r="F91" s="139">
        <v>9</v>
      </c>
      <c r="G91" s="165">
        <v>51</v>
      </c>
      <c r="H91" s="175">
        <f t="shared" si="27"/>
        <v>1702.5353974612706</v>
      </c>
      <c r="I91" s="175">
        <f t="shared" si="22"/>
        <v>1533.3045093675044</v>
      </c>
      <c r="J91" s="176">
        <f t="shared" si="2"/>
        <v>78198.529977742728</v>
      </c>
      <c r="K91" s="177">
        <f t="shared" si="13"/>
        <v>86829.305270524797</v>
      </c>
      <c r="L91" s="178">
        <f t="shared" si="26"/>
        <v>-8630.7752927820693</v>
      </c>
      <c r="M91" s="170">
        <f t="shared" si="28"/>
        <v>-688.20535315033806</v>
      </c>
      <c r="N91" s="171">
        <f t="shared" si="29"/>
        <v>-9318.9806459324082</v>
      </c>
      <c r="O91" s="170">
        <f t="shared" si="30"/>
        <v>0</v>
      </c>
      <c r="P91" s="170">
        <f t="shared" si="31"/>
        <v>0</v>
      </c>
      <c r="Q91" s="170">
        <v>0</v>
      </c>
      <c r="R91" s="171">
        <f t="shared" si="32"/>
        <v>-9318.9806459324082</v>
      </c>
    </row>
    <row r="92" spans="1:18" x14ac:dyDescent="0.25">
      <c r="A92" s="94">
        <v>1</v>
      </c>
      <c r="B92" s="163">
        <f t="shared" si="4"/>
        <v>45292</v>
      </c>
      <c r="C92" s="180">
        <f t="shared" ref="C92:D95" si="33">+C80</f>
        <v>45327</v>
      </c>
      <c r="D92" s="180">
        <f t="shared" si="33"/>
        <v>45348</v>
      </c>
      <c r="E92" s="164" t="s">
        <v>8</v>
      </c>
      <c r="F92" s="94">
        <v>9</v>
      </c>
      <c r="G92" s="165">
        <v>94</v>
      </c>
      <c r="H92" s="166">
        <f t="shared" si="27"/>
        <v>1702.5353974612706</v>
      </c>
      <c r="I92" s="166">
        <f t="shared" si="22"/>
        <v>1533.3045093675044</v>
      </c>
      <c r="J92" s="167">
        <f t="shared" si="2"/>
        <v>144130.6238805454</v>
      </c>
      <c r="K92" s="168">
        <f t="shared" si="13"/>
        <v>160038.32736135944</v>
      </c>
      <c r="L92" s="169">
        <f t="shared" si="26"/>
        <v>-15907.703480814031</v>
      </c>
      <c r="M92" s="170">
        <f t="shared" si="28"/>
        <v>-1268.4569254143487</v>
      </c>
      <c r="N92" s="171">
        <f t="shared" si="29"/>
        <v>-17176.16040622838</v>
      </c>
      <c r="O92" s="170">
        <f t="shared" si="30"/>
        <v>0</v>
      </c>
      <c r="P92" s="170">
        <f t="shared" si="31"/>
        <v>0</v>
      </c>
      <c r="Q92" s="170">
        <v>0</v>
      </c>
      <c r="R92" s="171">
        <f t="shared" si="32"/>
        <v>-17176.16040622838</v>
      </c>
    </row>
    <row r="93" spans="1:18" x14ac:dyDescent="0.25">
      <c r="A93" s="128">
        <v>2</v>
      </c>
      <c r="B93" s="163">
        <f t="shared" si="4"/>
        <v>45323</v>
      </c>
      <c r="C93" s="183">
        <f t="shared" si="33"/>
        <v>45356</v>
      </c>
      <c r="D93" s="183">
        <f t="shared" si="33"/>
        <v>45376</v>
      </c>
      <c r="E93" s="172" t="s">
        <v>8</v>
      </c>
      <c r="F93" s="128">
        <v>9</v>
      </c>
      <c r="G93" s="165">
        <v>62</v>
      </c>
      <c r="H93" s="166">
        <f t="shared" si="27"/>
        <v>1702.5353974612706</v>
      </c>
      <c r="I93" s="166">
        <f t="shared" si="22"/>
        <v>1533.3045093675044</v>
      </c>
      <c r="J93" s="167">
        <f t="shared" si="2"/>
        <v>95064.879580785273</v>
      </c>
      <c r="K93" s="168">
        <f t="shared" si="13"/>
        <v>105557.19464259877</v>
      </c>
      <c r="L93" s="169">
        <f t="shared" si="26"/>
        <v>-10492.315061813497</v>
      </c>
      <c r="M93" s="170">
        <f t="shared" si="28"/>
        <v>-836.64180186903843</v>
      </c>
      <c r="N93" s="171">
        <f t="shared" si="29"/>
        <v>-11328.956863682535</v>
      </c>
      <c r="O93" s="170">
        <f t="shared" si="30"/>
        <v>0</v>
      </c>
      <c r="P93" s="170">
        <f t="shared" si="31"/>
        <v>0</v>
      </c>
      <c r="Q93" s="170">
        <v>0</v>
      </c>
      <c r="R93" s="171">
        <f t="shared" si="32"/>
        <v>-11328.956863682535</v>
      </c>
    </row>
    <row r="94" spans="1:18" x14ac:dyDescent="0.25">
      <c r="A94" s="128">
        <v>3</v>
      </c>
      <c r="B94" s="163">
        <f t="shared" si="4"/>
        <v>45352</v>
      </c>
      <c r="C94" s="183">
        <f t="shared" si="33"/>
        <v>45385</v>
      </c>
      <c r="D94" s="183">
        <f t="shared" si="33"/>
        <v>45406</v>
      </c>
      <c r="E94" s="172" t="s">
        <v>8</v>
      </c>
      <c r="F94" s="128">
        <v>9</v>
      </c>
      <c r="G94" s="165">
        <v>60</v>
      </c>
      <c r="H94" s="166">
        <f t="shared" si="27"/>
        <v>1702.5353974612706</v>
      </c>
      <c r="I94" s="166">
        <f t="shared" si="22"/>
        <v>1533.3045093675044</v>
      </c>
      <c r="J94" s="167">
        <f t="shared" si="2"/>
        <v>91998.270562050267</v>
      </c>
      <c r="K94" s="168">
        <f t="shared" ref="K94:K133" si="34">+$G94*H94</f>
        <v>102152.12384767624</v>
      </c>
      <c r="L94" s="169">
        <f>+J94-K94</f>
        <v>-10153.85328562597</v>
      </c>
      <c r="M94" s="170">
        <f t="shared" si="28"/>
        <v>-809.65335664745658</v>
      </c>
      <c r="N94" s="171">
        <f t="shared" si="29"/>
        <v>-10963.506642273427</v>
      </c>
      <c r="O94" s="170">
        <f t="shared" si="30"/>
        <v>0</v>
      </c>
      <c r="P94" s="170">
        <f t="shared" si="31"/>
        <v>0</v>
      </c>
      <c r="Q94" s="170">
        <v>0</v>
      </c>
      <c r="R94" s="171">
        <f t="shared" si="32"/>
        <v>-10963.506642273427</v>
      </c>
    </row>
    <row r="95" spans="1:18" x14ac:dyDescent="0.25">
      <c r="A95" s="94">
        <v>4</v>
      </c>
      <c r="B95" s="163">
        <f t="shared" si="4"/>
        <v>45383</v>
      </c>
      <c r="C95" s="183">
        <f t="shared" si="33"/>
        <v>45415</v>
      </c>
      <c r="D95" s="183">
        <f t="shared" si="33"/>
        <v>45436</v>
      </c>
      <c r="E95" s="172" t="s">
        <v>8</v>
      </c>
      <c r="F95" s="128">
        <v>9</v>
      </c>
      <c r="G95" s="165">
        <v>92</v>
      </c>
      <c r="H95" s="166">
        <f t="shared" si="27"/>
        <v>1702.5353974612706</v>
      </c>
      <c r="I95" s="166">
        <f t="shared" si="22"/>
        <v>1533.3045093675044</v>
      </c>
      <c r="J95" s="167">
        <f t="shared" si="2"/>
        <v>141064.0148618104</v>
      </c>
      <c r="K95" s="168">
        <f t="shared" si="34"/>
        <v>156633.2565664369</v>
      </c>
      <c r="L95" s="169">
        <f t="shared" ref="L95:L105" si="35">+J95-K95</f>
        <v>-15569.241704626504</v>
      </c>
      <c r="M95" s="170">
        <f t="shared" si="28"/>
        <v>-1241.4684801927667</v>
      </c>
      <c r="N95" s="171">
        <f t="shared" si="29"/>
        <v>-16810.710184819269</v>
      </c>
      <c r="O95" s="170">
        <f t="shared" si="30"/>
        <v>0</v>
      </c>
      <c r="P95" s="170">
        <f t="shared" si="31"/>
        <v>0</v>
      </c>
      <c r="Q95" s="170">
        <v>0</v>
      </c>
      <c r="R95" s="171">
        <f t="shared" si="32"/>
        <v>-16810.710184819269</v>
      </c>
    </row>
    <row r="96" spans="1:18" x14ac:dyDescent="0.25">
      <c r="A96" s="128">
        <v>5</v>
      </c>
      <c r="B96" s="163">
        <f t="shared" si="4"/>
        <v>45413</v>
      </c>
      <c r="C96" s="183">
        <f t="shared" ref="C96:D116" si="36">+C84</f>
        <v>45448</v>
      </c>
      <c r="D96" s="183">
        <f t="shared" si="36"/>
        <v>45467</v>
      </c>
      <c r="E96" s="52" t="s">
        <v>8</v>
      </c>
      <c r="F96" s="128">
        <v>9</v>
      </c>
      <c r="G96" s="165">
        <v>118</v>
      </c>
      <c r="H96" s="166">
        <f t="shared" si="27"/>
        <v>1702.5353974612706</v>
      </c>
      <c r="I96" s="166">
        <f t="shared" si="22"/>
        <v>1533.3045093675044</v>
      </c>
      <c r="J96" s="167">
        <f t="shared" si="2"/>
        <v>180929.9321053655</v>
      </c>
      <c r="K96" s="168">
        <f t="shared" si="34"/>
        <v>200899.17690042994</v>
      </c>
      <c r="L96" s="169">
        <f t="shared" si="35"/>
        <v>-19969.244795064442</v>
      </c>
      <c r="M96" s="170">
        <f t="shared" si="28"/>
        <v>-1592.3182680733312</v>
      </c>
      <c r="N96" s="171">
        <f t="shared" si="29"/>
        <v>-21561.563063137772</v>
      </c>
      <c r="O96" s="170">
        <f t="shared" si="30"/>
        <v>0</v>
      </c>
      <c r="P96" s="170">
        <f t="shared" si="31"/>
        <v>0</v>
      </c>
      <c r="Q96" s="170">
        <v>0</v>
      </c>
      <c r="R96" s="171">
        <f t="shared" si="32"/>
        <v>-21561.563063137772</v>
      </c>
    </row>
    <row r="97" spans="1:18" x14ac:dyDescent="0.25">
      <c r="A97" s="128">
        <v>6</v>
      </c>
      <c r="B97" s="163">
        <f t="shared" si="4"/>
        <v>45444</v>
      </c>
      <c r="C97" s="183">
        <f t="shared" si="36"/>
        <v>45476</v>
      </c>
      <c r="D97" s="183">
        <f t="shared" si="36"/>
        <v>45497</v>
      </c>
      <c r="E97" s="52" t="s">
        <v>8</v>
      </c>
      <c r="F97" s="128">
        <v>9</v>
      </c>
      <c r="G97" s="165">
        <v>143</v>
      </c>
      <c r="H97" s="166">
        <f t="shared" si="27"/>
        <v>1702.5353974612706</v>
      </c>
      <c r="I97" s="166">
        <f t="shared" si="22"/>
        <v>1533.3045093675044</v>
      </c>
      <c r="J97" s="167">
        <f t="shared" si="2"/>
        <v>219262.54483955313</v>
      </c>
      <c r="K97" s="168">
        <f t="shared" si="34"/>
        <v>243462.56183696169</v>
      </c>
      <c r="L97" s="173">
        <f t="shared" si="35"/>
        <v>-24200.016997408558</v>
      </c>
      <c r="M97" s="170">
        <f t="shared" si="28"/>
        <v>-1929.6738333431047</v>
      </c>
      <c r="N97" s="171">
        <f t="shared" si="29"/>
        <v>-26129.690830751664</v>
      </c>
      <c r="O97" s="170">
        <f t="shared" si="30"/>
        <v>0</v>
      </c>
      <c r="P97" s="170">
        <f t="shared" si="31"/>
        <v>0</v>
      </c>
      <c r="Q97" s="170">
        <v>0</v>
      </c>
      <c r="R97" s="171">
        <f t="shared" si="32"/>
        <v>-26129.690830751664</v>
      </c>
    </row>
    <row r="98" spans="1:18" x14ac:dyDescent="0.25">
      <c r="A98" s="94">
        <v>7</v>
      </c>
      <c r="B98" s="163">
        <f t="shared" si="4"/>
        <v>45474</v>
      </c>
      <c r="C98" s="183">
        <f t="shared" si="36"/>
        <v>45509</v>
      </c>
      <c r="D98" s="183">
        <f t="shared" si="36"/>
        <v>45530</v>
      </c>
      <c r="E98" s="52" t="s">
        <v>8</v>
      </c>
      <c r="F98" s="128">
        <v>9</v>
      </c>
      <c r="G98" s="165">
        <v>151</v>
      </c>
      <c r="H98" s="166">
        <f t="shared" si="27"/>
        <v>1702.5353974612706</v>
      </c>
      <c r="I98" s="166">
        <f t="shared" si="22"/>
        <v>1533.3045093675044</v>
      </c>
      <c r="J98" s="167">
        <f t="shared" si="2"/>
        <v>231528.98091449315</v>
      </c>
      <c r="K98" s="174">
        <f t="shared" si="34"/>
        <v>257082.84501665185</v>
      </c>
      <c r="L98" s="173">
        <f t="shared" si="35"/>
        <v>-25553.864102158695</v>
      </c>
      <c r="M98" s="170">
        <f t="shared" si="28"/>
        <v>-2037.6276142294323</v>
      </c>
      <c r="N98" s="171">
        <f t="shared" si="29"/>
        <v>-27591.491716388129</v>
      </c>
      <c r="O98" s="170">
        <f t="shared" si="30"/>
        <v>0</v>
      </c>
      <c r="P98" s="170">
        <f t="shared" si="31"/>
        <v>0</v>
      </c>
      <c r="Q98" s="170">
        <v>0</v>
      </c>
      <c r="R98" s="171">
        <f t="shared" si="32"/>
        <v>-27591.491716388129</v>
      </c>
    </row>
    <row r="99" spans="1:18" x14ac:dyDescent="0.25">
      <c r="A99" s="128">
        <v>8</v>
      </c>
      <c r="B99" s="163">
        <f t="shared" si="4"/>
        <v>45505</v>
      </c>
      <c r="C99" s="183">
        <f t="shared" si="36"/>
        <v>45539</v>
      </c>
      <c r="D99" s="183">
        <f t="shared" si="36"/>
        <v>45559</v>
      </c>
      <c r="E99" s="52" t="s">
        <v>8</v>
      </c>
      <c r="F99" s="128">
        <v>9</v>
      </c>
      <c r="G99" s="165">
        <v>157</v>
      </c>
      <c r="H99" s="166">
        <f t="shared" si="27"/>
        <v>1702.5353974612706</v>
      </c>
      <c r="I99" s="166">
        <f t="shared" si="22"/>
        <v>1533.3045093675044</v>
      </c>
      <c r="J99" s="167">
        <f t="shared" si="2"/>
        <v>240728.8079706982</v>
      </c>
      <c r="K99" s="174">
        <f t="shared" si="34"/>
        <v>267298.0574014195</v>
      </c>
      <c r="L99" s="173">
        <f t="shared" si="35"/>
        <v>-26569.249430721306</v>
      </c>
      <c r="M99" s="170">
        <f t="shared" si="28"/>
        <v>-2118.5929498941778</v>
      </c>
      <c r="N99" s="171">
        <f t="shared" si="29"/>
        <v>-28687.842380615482</v>
      </c>
      <c r="O99" s="170">
        <f t="shared" si="30"/>
        <v>0</v>
      </c>
      <c r="P99" s="170">
        <f t="shared" si="31"/>
        <v>0</v>
      </c>
      <c r="Q99" s="170">
        <v>0</v>
      </c>
      <c r="R99" s="171">
        <f t="shared" si="32"/>
        <v>-28687.842380615482</v>
      </c>
    </row>
    <row r="100" spans="1:18" x14ac:dyDescent="0.25">
      <c r="A100" s="128">
        <v>9</v>
      </c>
      <c r="B100" s="163">
        <f t="shared" si="4"/>
        <v>45536</v>
      </c>
      <c r="C100" s="183">
        <f t="shared" si="36"/>
        <v>45568</v>
      </c>
      <c r="D100" s="183">
        <f t="shared" si="36"/>
        <v>45589</v>
      </c>
      <c r="E100" s="52" t="s">
        <v>8</v>
      </c>
      <c r="F100" s="128">
        <v>9</v>
      </c>
      <c r="G100" s="165">
        <v>146</v>
      </c>
      <c r="H100" s="166">
        <f t="shared" si="27"/>
        <v>1702.5353974612706</v>
      </c>
      <c r="I100" s="166">
        <f t="shared" si="22"/>
        <v>1533.3045093675044</v>
      </c>
      <c r="J100" s="167">
        <f t="shared" si="2"/>
        <v>223862.45836765564</v>
      </c>
      <c r="K100" s="174">
        <f t="shared" si="34"/>
        <v>248570.16802934551</v>
      </c>
      <c r="L100" s="173">
        <f t="shared" si="35"/>
        <v>-24707.709661689878</v>
      </c>
      <c r="M100" s="170">
        <f t="shared" si="28"/>
        <v>-1970.1565011754776</v>
      </c>
      <c r="N100" s="171">
        <f t="shared" si="29"/>
        <v>-26677.866162865357</v>
      </c>
      <c r="O100" s="170">
        <f t="shared" si="30"/>
        <v>0</v>
      </c>
      <c r="P100" s="170">
        <f t="shared" si="31"/>
        <v>0</v>
      </c>
      <c r="Q100" s="170">
        <v>0</v>
      </c>
      <c r="R100" s="171">
        <f t="shared" si="32"/>
        <v>-26677.866162865357</v>
      </c>
    </row>
    <row r="101" spans="1:18" x14ac:dyDescent="0.25">
      <c r="A101" s="94">
        <v>10</v>
      </c>
      <c r="B101" s="163">
        <f t="shared" si="4"/>
        <v>45566</v>
      </c>
      <c r="C101" s="183">
        <f t="shared" si="36"/>
        <v>45601</v>
      </c>
      <c r="D101" s="183">
        <f t="shared" si="36"/>
        <v>45621</v>
      </c>
      <c r="E101" s="52" t="s">
        <v>8</v>
      </c>
      <c r="F101" s="128">
        <v>9</v>
      </c>
      <c r="G101" s="165">
        <v>116</v>
      </c>
      <c r="H101" s="166">
        <f t="shared" si="27"/>
        <v>1702.5353974612706</v>
      </c>
      <c r="I101" s="166">
        <f t="shared" si="22"/>
        <v>1533.3045093675044</v>
      </c>
      <c r="J101" s="167">
        <f t="shared" si="2"/>
        <v>177863.32308663049</v>
      </c>
      <c r="K101" s="174">
        <f t="shared" si="34"/>
        <v>197494.10610550738</v>
      </c>
      <c r="L101" s="173">
        <f t="shared" si="35"/>
        <v>-19630.783018876886</v>
      </c>
      <c r="M101" s="170">
        <f t="shared" si="28"/>
        <v>-1565.3298228517492</v>
      </c>
      <c r="N101" s="171">
        <f t="shared" si="29"/>
        <v>-21196.112841728635</v>
      </c>
      <c r="O101" s="170">
        <f t="shared" si="30"/>
        <v>0</v>
      </c>
      <c r="P101" s="170">
        <f t="shared" si="31"/>
        <v>0</v>
      </c>
      <c r="Q101" s="170">
        <v>0</v>
      </c>
      <c r="R101" s="171">
        <f t="shared" si="32"/>
        <v>-21196.112841728635</v>
      </c>
    </row>
    <row r="102" spans="1:18" x14ac:dyDescent="0.25">
      <c r="A102" s="128">
        <v>11</v>
      </c>
      <c r="B102" s="163">
        <f t="shared" si="4"/>
        <v>45597</v>
      </c>
      <c r="C102" s="183">
        <f t="shared" si="36"/>
        <v>45630</v>
      </c>
      <c r="D102" s="183">
        <f t="shared" si="36"/>
        <v>45650</v>
      </c>
      <c r="E102" s="52" t="s">
        <v>8</v>
      </c>
      <c r="F102" s="128">
        <v>9</v>
      </c>
      <c r="G102" s="165">
        <v>62</v>
      </c>
      <c r="H102" s="166">
        <f t="shared" si="27"/>
        <v>1702.5353974612706</v>
      </c>
      <c r="I102" s="166">
        <f t="shared" si="22"/>
        <v>1533.3045093675044</v>
      </c>
      <c r="J102" s="167">
        <f t="shared" si="2"/>
        <v>95064.879580785273</v>
      </c>
      <c r="K102" s="174">
        <f t="shared" si="34"/>
        <v>105557.19464259877</v>
      </c>
      <c r="L102" s="173">
        <f t="shared" si="35"/>
        <v>-10492.315061813497</v>
      </c>
      <c r="M102" s="170">
        <f t="shared" si="28"/>
        <v>-836.64180186903843</v>
      </c>
      <c r="N102" s="171">
        <f t="shared" si="29"/>
        <v>-11328.956863682535</v>
      </c>
      <c r="O102" s="170">
        <f t="shared" si="30"/>
        <v>0</v>
      </c>
      <c r="P102" s="170">
        <f t="shared" si="31"/>
        <v>0</v>
      </c>
      <c r="Q102" s="170">
        <v>0</v>
      </c>
      <c r="R102" s="171">
        <f t="shared" si="32"/>
        <v>-11328.956863682535</v>
      </c>
    </row>
    <row r="103" spans="1:18" s="187" customFormat="1" x14ac:dyDescent="0.25">
      <c r="A103" s="128">
        <v>12</v>
      </c>
      <c r="B103" s="185">
        <f t="shared" si="4"/>
        <v>45627</v>
      </c>
      <c r="C103" s="183">
        <f t="shared" si="36"/>
        <v>45660</v>
      </c>
      <c r="D103" s="183">
        <f t="shared" si="36"/>
        <v>45681</v>
      </c>
      <c r="E103" s="186" t="s">
        <v>8</v>
      </c>
      <c r="F103" s="139">
        <v>9</v>
      </c>
      <c r="G103" s="165">
        <v>77</v>
      </c>
      <c r="H103" s="175">
        <f t="shared" si="27"/>
        <v>1702.5353974612706</v>
      </c>
      <c r="I103" s="175">
        <f t="shared" si="22"/>
        <v>1533.3045093675044</v>
      </c>
      <c r="J103" s="176">
        <f t="shared" si="2"/>
        <v>118064.44722129783</v>
      </c>
      <c r="K103" s="177">
        <f t="shared" si="34"/>
        <v>131095.22560451782</v>
      </c>
      <c r="L103" s="178">
        <f t="shared" si="35"/>
        <v>-13030.778383219993</v>
      </c>
      <c r="M103" s="170">
        <f t="shared" si="28"/>
        <v>-1039.0551410309026</v>
      </c>
      <c r="N103" s="171">
        <f t="shared" si="29"/>
        <v>-14069.833524250895</v>
      </c>
      <c r="O103" s="170">
        <f t="shared" si="30"/>
        <v>0</v>
      </c>
      <c r="P103" s="170">
        <f t="shared" si="31"/>
        <v>0</v>
      </c>
      <c r="Q103" s="170">
        <v>0</v>
      </c>
      <c r="R103" s="171">
        <f t="shared" si="32"/>
        <v>-14069.833524250895</v>
      </c>
    </row>
    <row r="104" spans="1:18" x14ac:dyDescent="0.25">
      <c r="A104" s="94">
        <v>1</v>
      </c>
      <c r="B104" s="163">
        <f t="shared" si="4"/>
        <v>45292</v>
      </c>
      <c r="C104" s="180">
        <f t="shared" si="36"/>
        <v>45327</v>
      </c>
      <c r="D104" s="180">
        <f t="shared" si="36"/>
        <v>45348</v>
      </c>
      <c r="E104" s="164" t="s">
        <v>19</v>
      </c>
      <c r="F104" s="94">
        <v>9</v>
      </c>
      <c r="G104" s="165">
        <v>65</v>
      </c>
      <c r="H104" s="166">
        <f t="shared" si="27"/>
        <v>1702.5353974612706</v>
      </c>
      <c r="I104" s="166">
        <f t="shared" si="22"/>
        <v>1533.3045093675044</v>
      </c>
      <c r="J104" s="167">
        <f t="shared" si="2"/>
        <v>99664.793108887781</v>
      </c>
      <c r="K104" s="168">
        <f t="shared" si="34"/>
        <v>110664.80083498258</v>
      </c>
      <c r="L104" s="169">
        <f t="shared" si="35"/>
        <v>-11000.007726094802</v>
      </c>
      <c r="M104" s="170">
        <f t="shared" si="28"/>
        <v>-877.12446970141139</v>
      </c>
      <c r="N104" s="171">
        <f t="shared" si="29"/>
        <v>-11877.132195796214</v>
      </c>
      <c r="O104" s="170">
        <f t="shared" si="30"/>
        <v>0</v>
      </c>
      <c r="P104" s="170">
        <f t="shared" si="31"/>
        <v>0</v>
      </c>
      <c r="Q104" s="170">
        <v>0</v>
      </c>
      <c r="R104" s="171">
        <f t="shared" si="32"/>
        <v>-11877.132195796214</v>
      </c>
    </row>
    <row r="105" spans="1:18" x14ac:dyDescent="0.25">
      <c r="A105" s="128">
        <v>2</v>
      </c>
      <c r="B105" s="163">
        <f t="shared" si="4"/>
        <v>45323</v>
      </c>
      <c r="C105" s="183">
        <f t="shared" si="36"/>
        <v>45356</v>
      </c>
      <c r="D105" s="183">
        <f t="shared" si="36"/>
        <v>45376</v>
      </c>
      <c r="E105" s="172" t="s">
        <v>19</v>
      </c>
      <c r="F105" s="128">
        <v>9</v>
      </c>
      <c r="G105" s="165">
        <v>65</v>
      </c>
      <c r="H105" s="166">
        <f t="shared" si="27"/>
        <v>1702.5353974612706</v>
      </c>
      <c r="I105" s="166">
        <f t="shared" si="22"/>
        <v>1533.3045093675044</v>
      </c>
      <c r="J105" s="167">
        <f t="shared" si="2"/>
        <v>99664.793108887781</v>
      </c>
      <c r="K105" s="168">
        <f t="shared" si="34"/>
        <v>110664.80083498258</v>
      </c>
      <c r="L105" s="169">
        <f t="shared" si="35"/>
        <v>-11000.007726094802</v>
      </c>
      <c r="M105" s="170">
        <f t="shared" si="28"/>
        <v>-877.12446970141139</v>
      </c>
      <c r="N105" s="171">
        <f t="shared" si="29"/>
        <v>-11877.132195796214</v>
      </c>
      <c r="O105" s="170">
        <f t="shared" si="30"/>
        <v>0</v>
      </c>
      <c r="P105" s="170">
        <f t="shared" si="31"/>
        <v>0</v>
      </c>
      <c r="Q105" s="170">
        <v>0</v>
      </c>
      <c r="R105" s="171">
        <f t="shared" si="32"/>
        <v>-11877.132195796214</v>
      </c>
    </row>
    <row r="106" spans="1:18" x14ac:dyDescent="0.25">
      <c r="A106" s="128">
        <v>3</v>
      </c>
      <c r="B106" s="163">
        <f t="shared" si="4"/>
        <v>45352</v>
      </c>
      <c r="C106" s="183">
        <f t="shared" si="36"/>
        <v>45385</v>
      </c>
      <c r="D106" s="183">
        <f t="shared" si="36"/>
        <v>45406</v>
      </c>
      <c r="E106" s="172" t="s">
        <v>19</v>
      </c>
      <c r="F106" s="128">
        <v>9</v>
      </c>
      <c r="G106" s="165">
        <v>64</v>
      </c>
      <c r="H106" s="166">
        <f t="shared" si="27"/>
        <v>1702.5353974612706</v>
      </c>
      <c r="I106" s="166">
        <f t="shared" si="22"/>
        <v>1533.3045093675044</v>
      </c>
      <c r="J106" s="167">
        <f t="shared" si="2"/>
        <v>98131.488599520279</v>
      </c>
      <c r="K106" s="168">
        <f t="shared" si="34"/>
        <v>108962.26543752132</v>
      </c>
      <c r="L106" s="169">
        <f>+J106-K106</f>
        <v>-10830.776838001038</v>
      </c>
      <c r="M106" s="170">
        <f t="shared" si="28"/>
        <v>-863.6302470906204</v>
      </c>
      <c r="N106" s="171">
        <f t="shared" si="29"/>
        <v>-11694.40708509166</v>
      </c>
      <c r="O106" s="170">
        <f t="shared" si="30"/>
        <v>0</v>
      </c>
      <c r="P106" s="170">
        <f t="shared" si="31"/>
        <v>0</v>
      </c>
      <c r="Q106" s="170">
        <v>0</v>
      </c>
      <c r="R106" s="171">
        <f t="shared" si="32"/>
        <v>-11694.40708509166</v>
      </c>
    </row>
    <row r="107" spans="1:18" x14ac:dyDescent="0.25">
      <c r="A107" s="94">
        <v>4</v>
      </c>
      <c r="B107" s="163">
        <f t="shared" si="4"/>
        <v>45383</v>
      </c>
      <c r="C107" s="183">
        <f t="shared" si="36"/>
        <v>45415</v>
      </c>
      <c r="D107" s="183">
        <f t="shared" si="36"/>
        <v>45436</v>
      </c>
      <c r="E107" s="52" t="s">
        <v>19</v>
      </c>
      <c r="F107" s="128">
        <v>9</v>
      </c>
      <c r="G107" s="165">
        <v>65</v>
      </c>
      <c r="H107" s="166">
        <f t="shared" si="27"/>
        <v>1702.5353974612706</v>
      </c>
      <c r="I107" s="166">
        <f t="shared" si="22"/>
        <v>1533.3045093675044</v>
      </c>
      <c r="J107" s="167">
        <f t="shared" si="2"/>
        <v>99664.793108887781</v>
      </c>
      <c r="K107" s="168">
        <f t="shared" si="34"/>
        <v>110664.80083498258</v>
      </c>
      <c r="L107" s="169">
        <f t="shared" ref="L107:L115" si="37">+J107-K107</f>
        <v>-11000.007726094802</v>
      </c>
      <c r="M107" s="170">
        <f t="shared" si="28"/>
        <v>-877.12446970141139</v>
      </c>
      <c r="N107" s="171">
        <f t="shared" si="29"/>
        <v>-11877.132195796214</v>
      </c>
      <c r="O107" s="170">
        <f t="shared" si="30"/>
        <v>0</v>
      </c>
      <c r="P107" s="170">
        <f t="shared" si="31"/>
        <v>0</v>
      </c>
      <c r="Q107" s="170">
        <v>0</v>
      </c>
      <c r="R107" s="171">
        <f t="shared" si="32"/>
        <v>-11877.132195796214</v>
      </c>
    </row>
    <row r="108" spans="1:18" x14ac:dyDescent="0.25">
      <c r="A108" s="128">
        <v>5</v>
      </c>
      <c r="B108" s="163">
        <f t="shared" si="4"/>
        <v>45413</v>
      </c>
      <c r="C108" s="183">
        <f t="shared" si="36"/>
        <v>45448</v>
      </c>
      <c r="D108" s="183">
        <f t="shared" si="36"/>
        <v>45467</v>
      </c>
      <c r="E108" s="52" t="s">
        <v>19</v>
      </c>
      <c r="F108" s="128">
        <v>9</v>
      </c>
      <c r="G108" s="165">
        <v>51</v>
      </c>
      <c r="H108" s="166">
        <f t="shared" si="27"/>
        <v>1702.5353974612706</v>
      </c>
      <c r="I108" s="166">
        <f t="shared" ref="I108:I127" si="38">$J$3</f>
        <v>1533.3045093675044</v>
      </c>
      <c r="J108" s="167">
        <f t="shared" si="2"/>
        <v>78198.529977742728</v>
      </c>
      <c r="K108" s="168">
        <f t="shared" si="34"/>
        <v>86829.305270524797</v>
      </c>
      <c r="L108" s="169">
        <f t="shared" si="37"/>
        <v>-8630.7752927820693</v>
      </c>
      <c r="M108" s="170">
        <f t="shared" si="28"/>
        <v>-688.20535315033806</v>
      </c>
      <c r="N108" s="171">
        <f t="shared" si="29"/>
        <v>-9318.9806459324082</v>
      </c>
      <c r="O108" s="170">
        <f t="shared" si="30"/>
        <v>0</v>
      </c>
      <c r="P108" s="170">
        <f t="shared" si="31"/>
        <v>0</v>
      </c>
      <c r="Q108" s="170">
        <v>0</v>
      </c>
      <c r="R108" s="171">
        <f t="shared" si="32"/>
        <v>-9318.9806459324082</v>
      </c>
    </row>
    <row r="109" spans="1:18" x14ac:dyDescent="0.25">
      <c r="A109" s="128">
        <v>6</v>
      </c>
      <c r="B109" s="163">
        <f t="shared" ref="B109:B148" si="39">DATE($R$1,A109,1)</f>
        <v>45444</v>
      </c>
      <c r="C109" s="183">
        <f t="shared" si="36"/>
        <v>45476</v>
      </c>
      <c r="D109" s="183">
        <f t="shared" si="36"/>
        <v>45497</v>
      </c>
      <c r="E109" s="52" t="s">
        <v>19</v>
      </c>
      <c r="F109" s="128">
        <v>9</v>
      </c>
      <c r="G109" s="165">
        <v>59</v>
      </c>
      <c r="H109" s="166">
        <f t="shared" si="27"/>
        <v>1702.5353974612706</v>
      </c>
      <c r="I109" s="166">
        <f t="shared" si="38"/>
        <v>1533.3045093675044</v>
      </c>
      <c r="J109" s="167">
        <f t="shared" ref="J109:J148" si="40">+$G109*I109</f>
        <v>90464.96605268275</v>
      </c>
      <c r="K109" s="168">
        <f t="shared" si="34"/>
        <v>100449.58845021497</v>
      </c>
      <c r="L109" s="173">
        <f t="shared" si="37"/>
        <v>-9984.6223975322209</v>
      </c>
      <c r="M109" s="170">
        <f t="shared" si="28"/>
        <v>-796.15913403666559</v>
      </c>
      <c r="N109" s="171">
        <f t="shared" si="29"/>
        <v>-10780.781531568886</v>
      </c>
      <c r="O109" s="170">
        <f t="shared" si="30"/>
        <v>0</v>
      </c>
      <c r="P109" s="170">
        <f t="shared" si="31"/>
        <v>0</v>
      </c>
      <c r="Q109" s="170">
        <v>0</v>
      </c>
      <c r="R109" s="171">
        <f t="shared" si="32"/>
        <v>-10780.781531568886</v>
      </c>
    </row>
    <row r="110" spans="1:18" x14ac:dyDescent="0.25">
      <c r="A110" s="94">
        <v>7</v>
      </c>
      <c r="B110" s="163">
        <f t="shared" si="39"/>
        <v>45474</v>
      </c>
      <c r="C110" s="183">
        <f t="shared" si="36"/>
        <v>45509</v>
      </c>
      <c r="D110" s="183">
        <f t="shared" si="36"/>
        <v>45530</v>
      </c>
      <c r="E110" s="52" t="s">
        <v>19</v>
      </c>
      <c r="F110" s="128">
        <v>9</v>
      </c>
      <c r="G110" s="165">
        <v>67</v>
      </c>
      <c r="H110" s="166">
        <f t="shared" si="27"/>
        <v>1702.5353974612706</v>
      </c>
      <c r="I110" s="166">
        <f t="shared" si="38"/>
        <v>1533.3045093675044</v>
      </c>
      <c r="J110" s="167">
        <f t="shared" si="40"/>
        <v>102731.40212762279</v>
      </c>
      <c r="K110" s="174">
        <f t="shared" si="34"/>
        <v>114069.87162990513</v>
      </c>
      <c r="L110" s="173">
        <f t="shared" si="37"/>
        <v>-11338.469502282343</v>
      </c>
      <c r="M110" s="170">
        <f t="shared" si="28"/>
        <v>-904.11291492299313</v>
      </c>
      <c r="N110" s="171">
        <f t="shared" si="29"/>
        <v>-12242.582417205336</v>
      </c>
      <c r="O110" s="170">
        <f t="shared" si="30"/>
        <v>0</v>
      </c>
      <c r="P110" s="170">
        <f t="shared" si="31"/>
        <v>0</v>
      </c>
      <c r="Q110" s="170">
        <v>0</v>
      </c>
      <c r="R110" s="171">
        <f t="shared" si="32"/>
        <v>-12242.582417205336</v>
      </c>
    </row>
    <row r="111" spans="1:18" x14ac:dyDescent="0.25">
      <c r="A111" s="128">
        <v>8</v>
      </c>
      <c r="B111" s="163">
        <f t="shared" si="39"/>
        <v>45505</v>
      </c>
      <c r="C111" s="183">
        <f t="shared" si="36"/>
        <v>45539</v>
      </c>
      <c r="D111" s="183">
        <f t="shared" si="36"/>
        <v>45559</v>
      </c>
      <c r="E111" s="52" t="s">
        <v>19</v>
      </c>
      <c r="F111" s="128">
        <v>9</v>
      </c>
      <c r="G111" s="165">
        <v>70</v>
      </c>
      <c r="H111" s="166">
        <f t="shared" si="27"/>
        <v>1702.5353974612706</v>
      </c>
      <c r="I111" s="166">
        <f t="shared" si="38"/>
        <v>1533.3045093675044</v>
      </c>
      <c r="J111" s="167">
        <f t="shared" si="40"/>
        <v>107331.31565572531</v>
      </c>
      <c r="K111" s="174">
        <f t="shared" si="34"/>
        <v>119177.47782228894</v>
      </c>
      <c r="L111" s="173">
        <f t="shared" si="37"/>
        <v>-11846.162166563634</v>
      </c>
      <c r="M111" s="170">
        <f t="shared" si="28"/>
        <v>-944.59558275536597</v>
      </c>
      <c r="N111" s="171">
        <f t="shared" si="29"/>
        <v>-12790.757749319</v>
      </c>
      <c r="O111" s="170">
        <f t="shared" si="30"/>
        <v>0</v>
      </c>
      <c r="P111" s="170">
        <f t="shared" si="31"/>
        <v>0</v>
      </c>
      <c r="Q111" s="170">
        <v>0</v>
      </c>
      <c r="R111" s="171">
        <f t="shared" si="32"/>
        <v>-12790.757749319</v>
      </c>
    </row>
    <row r="112" spans="1:18" x14ac:dyDescent="0.25">
      <c r="A112" s="128">
        <v>9</v>
      </c>
      <c r="B112" s="163">
        <f t="shared" si="39"/>
        <v>45536</v>
      </c>
      <c r="C112" s="183">
        <f t="shared" si="36"/>
        <v>45568</v>
      </c>
      <c r="D112" s="183">
        <f t="shared" si="36"/>
        <v>45589</v>
      </c>
      <c r="E112" s="52" t="s">
        <v>19</v>
      </c>
      <c r="F112" s="128">
        <v>9</v>
      </c>
      <c r="G112" s="165">
        <v>72</v>
      </c>
      <c r="H112" s="166">
        <f t="shared" si="27"/>
        <v>1702.5353974612706</v>
      </c>
      <c r="I112" s="166">
        <f t="shared" si="38"/>
        <v>1533.3045093675044</v>
      </c>
      <c r="J112" s="167">
        <f t="shared" si="40"/>
        <v>110397.92467446032</v>
      </c>
      <c r="K112" s="174">
        <f t="shared" si="34"/>
        <v>122582.54861721148</v>
      </c>
      <c r="L112" s="173">
        <f t="shared" si="37"/>
        <v>-12184.623942751161</v>
      </c>
      <c r="M112" s="170">
        <f t="shared" si="28"/>
        <v>-971.58402797694794</v>
      </c>
      <c r="N112" s="171">
        <f t="shared" si="29"/>
        <v>-13156.207970728108</v>
      </c>
      <c r="O112" s="170">
        <f t="shared" si="30"/>
        <v>0</v>
      </c>
      <c r="P112" s="170">
        <f t="shared" si="31"/>
        <v>0</v>
      </c>
      <c r="Q112" s="170">
        <v>0</v>
      </c>
      <c r="R112" s="171">
        <f t="shared" si="32"/>
        <v>-13156.207970728108</v>
      </c>
    </row>
    <row r="113" spans="1:18" x14ac:dyDescent="0.25">
      <c r="A113" s="94">
        <v>10</v>
      </c>
      <c r="B113" s="163">
        <f t="shared" si="39"/>
        <v>45566</v>
      </c>
      <c r="C113" s="183">
        <f t="shared" si="36"/>
        <v>45601</v>
      </c>
      <c r="D113" s="183">
        <f t="shared" si="36"/>
        <v>45621</v>
      </c>
      <c r="E113" s="52" t="s">
        <v>19</v>
      </c>
      <c r="F113" s="128">
        <v>9</v>
      </c>
      <c r="G113" s="165">
        <v>73</v>
      </c>
      <c r="H113" s="166">
        <f t="shared" si="27"/>
        <v>1702.5353974612706</v>
      </c>
      <c r="I113" s="166">
        <f t="shared" si="38"/>
        <v>1533.3045093675044</v>
      </c>
      <c r="J113" s="167">
        <f t="shared" si="40"/>
        <v>111931.22918382782</v>
      </c>
      <c r="K113" s="174">
        <f t="shared" si="34"/>
        <v>124285.08401467276</v>
      </c>
      <c r="L113" s="173">
        <f t="shared" si="37"/>
        <v>-12353.854830844939</v>
      </c>
      <c r="M113" s="170">
        <f t="shared" si="28"/>
        <v>-985.07825058773881</v>
      </c>
      <c r="N113" s="171">
        <f t="shared" si="29"/>
        <v>-13338.933081432679</v>
      </c>
      <c r="O113" s="170">
        <f t="shared" si="30"/>
        <v>0</v>
      </c>
      <c r="P113" s="170">
        <f t="shared" si="31"/>
        <v>0</v>
      </c>
      <c r="Q113" s="170">
        <v>0</v>
      </c>
      <c r="R113" s="171">
        <f t="shared" si="32"/>
        <v>-13338.933081432679</v>
      </c>
    </row>
    <row r="114" spans="1:18" x14ac:dyDescent="0.25">
      <c r="A114" s="128">
        <v>11</v>
      </c>
      <c r="B114" s="163">
        <f t="shared" si="39"/>
        <v>45597</v>
      </c>
      <c r="C114" s="183">
        <f t="shared" si="36"/>
        <v>45630</v>
      </c>
      <c r="D114" s="183">
        <f t="shared" si="36"/>
        <v>45650</v>
      </c>
      <c r="E114" s="52" t="s">
        <v>19</v>
      </c>
      <c r="F114" s="128">
        <v>9</v>
      </c>
      <c r="G114" s="165">
        <v>72</v>
      </c>
      <c r="H114" s="166">
        <f t="shared" si="27"/>
        <v>1702.5353974612706</v>
      </c>
      <c r="I114" s="166">
        <f t="shared" si="38"/>
        <v>1533.3045093675044</v>
      </c>
      <c r="J114" s="167">
        <f t="shared" si="40"/>
        <v>110397.92467446032</v>
      </c>
      <c r="K114" s="174">
        <f t="shared" si="34"/>
        <v>122582.54861721148</v>
      </c>
      <c r="L114" s="173">
        <f t="shared" si="37"/>
        <v>-12184.623942751161</v>
      </c>
      <c r="M114" s="170">
        <f t="shared" si="28"/>
        <v>-971.58402797694794</v>
      </c>
      <c r="N114" s="171">
        <f t="shared" si="29"/>
        <v>-13156.207970728108</v>
      </c>
      <c r="O114" s="170">
        <f t="shared" si="30"/>
        <v>0</v>
      </c>
      <c r="P114" s="170">
        <f t="shared" si="31"/>
        <v>0</v>
      </c>
      <c r="Q114" s="170">
        <v>0</v>
      </c>
      <c r="R114" s="171">
        <f t="shared" si="32"/>
        <v>-13156.207970728108</v>
      </c>
    </row>
    <row r="115" spans="1:18" s="187" customFormat="1" x14ac:dyDescent="0.25">
      <c r="A115" s="128">
        <v>12</v>
      </c>
      <c r="B115" s="185">
        <f t="shared" si="39"/>
        <v>45627</v>
      </c>
      <c r="C115" s="188">
        <f t="shared" si="36"/>
        <v>45660</v>
      </c>
      <c r="D115" s="188">
        <f t="shared" si="36"/>
        <v>45681</v>
      </c>
      <c r="E115" s="186" t="s">
        <v>19</v>
      </c>
      <c r="F115" s="139">
        <v>9</v>
      </c>
      <c r="G115" s="165">
        <v>65</v>
      </c>
      <c r="H115" s="175">
        <f t="shared" si="27"/>
        <v>1702.5353974612706</v>
      </c>
      <c r="I115" s="175">
        <f t="shared" si="38"/>
        <v>1533.3045093675044</v>
      </c>
      <c r="J115" s="176">
        <f t="shared" si="40"/>
        <v>99664.793108887781</v>
      </c>
      <c r="K115" s="177">
        <f t="shared" si="34"/>
        <v>110664.80083498258</v>
      </c>
      <c r="L115" s="178">
        <f t="shared" si="37"/>
        <v>-11000.007726094802</v>
      </c>
      <c r="M115" s="170">
        <f t="shared" si="28"/>
        <v>-877.12446970141139</v>
      </c>
      <c r="N115" s="171">
        <f t="shared" si="29"/>
        <v>-11877.132195796214</v>
      </c>
      <c r="O115" s="170">
        <f t="shared" si="30"/>
        <v>0</v>
      </c>
      <c r="P115" s="170">
        <f t="shared" si="31"/>
        <v>0</v>
      </c>
      <c r="Q115" s="170">
        <v>0</v>
      </c>
      <c r="R115" s="171">
        <f t="shared" si="32"/>
        <v>-11877.132195796214</v>
      </c>
    </row>
    <row r="116" spans="1:18" x14ac:dyDescent="0.25">
      <c r="A116" s="94">
        <v>1</v>
      </c>
      <c r="B116" s="163">
        <f t="shared" si="39"/>
        <v>45292</v>
      </c>
      <c r="C116" s="183">
        <f t="shared" si="36"/>
        <v>45327</v>
      </c>
      <c r="D116" s="183">
        <f t="shared" si="36"/>
        <v>45348</v>
      </c>
      <c r="E116" s="164" t="s">
        <v>13</v>
      </c>
      <c r="F116" s="94">
        <v>9</v>
      </c>
      <c r="G116" s="165">
        <v>1452</v>
      </c>
      <c r="H116" s="166">
        <f t="shared" si="27"/>
        <v>1702.5353974612706</v>
      </c>
      <c r="I116" s="166">
        <f t="shared" si="38"/>
        <v>1533.3045093675044</v>
      </c>
      <c r="J116" s="167">
        <f t="shared" si="40"/>
        <v>2226358.1476016161</v>
      </c>
      <c r="K116" s="168">
        <f t="shared" si="34"/>
        <v>2472081.3971137647</v>
      </c>
      <c r="L116" s="169">
        <f>+J116-K116</f>
        <v>-245723.24951214856</v>
      </c>
      <c r="M116" s="170">
        <f t="shared" si="28"/>
        <v>-19593.61123086845</v>
      </c>
      <c r="N116" s="171">
        <f t="shared" si="29"/>
        <v>-265316.86074301699</v>
      </c>
      <c r="O116" s="170">
        <f t="shared" si="30"/>
        <v>0</v>
      </c>
      <c r="P116" s="170">
        <f t="shared" si="31"/>
        <v>0</v>
      </c>
      <c r="Q116" s="170">
        <v>0</v>
      </c>
      <c r="R116" s="171">
        <f t="shared" si="32"/>
        <v>-265316.86074301699</v>
      </c>
    </row>
    <row r="117" spans="1:18" x14ac:dyDescent="0.25">
      <c r="A117" s="128">
        <v>2</v>
      </c>
      <c r="B117" s="163">
        <f t="shared" si="39"/>
        <v>45323</v>
      </c>
      <c r="C117" s="183">
        <f t="shared" ref="C117:D139" si="41">+C105</f>
        <v>45356</v>
      </c>
      <c r="D117" s="183">
        <f t="shared" si="41"/>
        <v>45376</v>
      </c>
      <c r="E117" s="172" t="s">
        <v>13</v>
      </c>
      <c r="F117" s="128">
        <v>9</v>
      </c>
      <c r="G117" s="165">
        <v>966</v>
      </c>
      <c r="H117" s="166">
        <f t="shared" si="27"/>
        <v>1702.5353974612706</v>
      </c>
      <c r="I117" s="166">
        <f t="shared" si="38"/>
        <v>1533.3045093675044</v>
      </c>
      <c r="J117" s="167">
        <f t="shared" si="40"/>
        <v>1481172.1560490092</v>
      </c>
      <c r="K117" s="168">
        <f t="shared" si="34"/>
        <v>1644649.1939475874</v>
      </c>
      <c r="L117" s="169">
        <f>+J117-K117</f>
        <v>-163477.03789857822</v>
      </c>
      <c r="M117" s="170">
        <f t="shared" si="28"/>
        <v>-13035.41904202405</v>
      </c>
      <c r="N117" s="171">
        <f t="shared" si="29"/>
        <v>-176512.45694060228</v>
      </c>
      <c r="O117" s="170">
        <f t="shared" si="30"/>
        <v>0</v>
      </c>
      <c r="P117" s="170">
        <f t="shared" si="31"/>
        <v>0</v>
      </c>
      <c r="Q117" s="170">
        <v>0</v>
      </c>
      <c r="R117" s="171">
        <f t="shared" si="32"/>
        <v>-176512.45694060228</v>
      </c>
    </row>
    <row r="118" spans="1:18" x14ac:dyDescent="0.25">
      <c r="A118" s="128">
        <v>3</v>
      </c>
      <c r="B118" s="163">
        <f t="shared" si="39"/>
        <v>45352</v>
      </c>
      <c r="C118" s="183">
        <f t="shared" si="41"/>
        <v>45385</v>
      </c>
      <c r="D118" s="183">
        <f t="shared" si="41"/>
        <v>45406</v>
      </c>
      <c r="E118" s="172" t="s">
        <v>13</v>
      </c>
      <c r="F118" s="128">
        <v>9</v>
      </c>
      <c r="G118" s="165">
        <v>732</v>
      </c>
      <c r="H118" s="166">
        <f t="shared" si="27"/>
        <v>1702.5353974612706</v>
      </c>
      <c r="I118" s="166">
        <f t="shared" si="38"/>
        <v>1533.3045093675044</v>
      </c>
      <c r="J118" s="167">
        <f t="shared" si="40"/>
        <v>1122378.9008570132</v>
      </c>
      <c r="K118" s="168">
        <f t="shared" si="34"/>
        <v>1246255.9109416502</v>
      </c>
      <c r="L118" s="169">
        <f>+J118-K118</f>
        <v>-123877.01008463698</v>
      </c>
      <c r="M118" s="170">
        <f t="shared" si="28"/>
        <v>-9877.7709510989698</v>
      </c>
      <c r="N118" s="171">
        <f t="shared" si="29"/>
        <v>-133754.78103573594</v>
      </c>
      <c r="O118" s="170">
        <f t="shared" si="30"/>
        <v>0</v>
      </c>
      <c r="P118" s="170">
        <f t="shared" si="31"/>
        <v>0</v>
      </c>
      <c r="Q118" s="170">
        <v>0</v>
      </c>
      <c r="R118" s="171">
        <f t="shared" si="32"/>
        <v>-133754.78103573594</v>
      </c>
    </row>
    <row r="119" spans="1:18" x14ac:dyDescent="0.25">
      <c r="A119" s="94">
        <v>4</v>
      </c>
      <c r="B119" s="163">
        <f t="shared" si="39"/>
        <v>45383</v>
      </c>
      <c r="C119" s="183">
        <f t="shared" si="41"/>
        <v>45415</v>
      </c>
      <c r="D119" s="183">
        <f t="shared" si="41"/>
        <v>45436</v>
      </c>
      <c r="E119" s="52" t="s">
        <v>13</v>
      </c>
      <c r="F119" s="128">
        <v>9</v>
      </c>
      <c r="G119" s="165">
        <v>547</v>
      </c>
      <c r="H119" s="166">
        <f t="shared" si="27"/>
        <v>1702.5353974612706</v>
      </c>
      <c r="I119" s="166">
        <f t="shared" si="38"/>
        <v>1533.3045093675044</v>
      </c>
      <c r="J119" s="167">
        <f t="shared" si="40"/>
        <v>838717.56662402488</v>
      </c>
      <c r="K119" s="168">
        <f t="shared" si="34"/>
        <v>931286.86241131497</v>
      </c>
      <c r="L119" s="169">
        <f t="shared" ref="L119:L127" si="42">+J119-K119</f>
        <v>-92569.295787290088</v>
      </c>
      <c r="M119" s="170">
        <f t="shared" si="28"/>
        <v>-7381.3397681026454</v>
      </c>
      <c r="N119" s="171">
        <f t="shared" si="29"/>
        <v>-99950.635555392728</v>
      </c>
      <c r="O119" s="170">
        <f t="shared" si="30"/>
        <v>0</v>
      </c>
      <c r="P119" s="170">
        <f t="shared" si="31"/>
        <v>0</v>
      </c>
      <c r="Q119" s="170">
        <v>0</v>
      </c>
      <c r="R119" s="171">
        <f t="shared" si="32"/>
        <v>-99950.635555392728</v>
      </c>
    </row>
    <row r="120" spans="1:18" x14ac:dyDescent="0.25">
      <c r="A120" s="128">
        <v>5</v>
      </c>
      <c r="B120" s="163">
        <f t="shared" si="39"/>
        <v>45413</v>
      </c>
      <c r="C120" s="183">
        <f t="shared" si="41"/>
        <v>45448</v>
      </c>
      <c r="D120" s="183">
        <f t="shared" si="41"/>
        <v>45467</v>
      </c>
      <c r="E120" s="52" t="s">
        <v>13</v>
      </c>
      <c r="F120" s="128">
        <v>9</v>
      </c>
      <c r="G120" s="165">
        <v>747</v>
      </c>
      <c r="H120" s="166">
        <f t="shared" si="27"/>
        <v>1702.5353974612706</v>
      </c>
      <c r="I120" s="166">
        <f t="shared" si="38"/>
        <v>1533.3045093675044</v>
      </c>
      <c r="J120" s="167">
        <f t="shared" si="40"/>
        <v>1145378.4684975257</v>
      </c>
      <c r="K120" s="168">
        <f t="shared" si="34"/>
        <v>1271793.941903569</v>
      </c>
      <c r="L120" s="169">
        <f t="shared" si="42"/>
        <v>-126415.47340604337</v>
      </c>
      <c r="M120" s="170">
        <f t="shared" si="28"/>
        <v>-10080.184290260835</v>
      </c>
      <c r="N120" s="171">
        <f t="shared" si="29"/>
        <v>-136495.6576963042</v>
      </c>
      <c r="O120" s="170">
        <f t="shared" si="30"/>
        <v>0</v>
      </c>
      <c r="P120" s="170">
        <f t="shared" si="31"/>
        <v>0</v>
      </c>
      <c r="Q120" s="170">
        <v>0</v>
      </c>
      <c r="R120" s="171">
        <f t="shared" si="32"/>
        <v>-136495.6576963042</v>
      </c>
    </row>
    <row r="121" spans="1:18" x14ac:dyDescent="0.25">
      <c r="A121" s="128">
        <v>6</v>
      </c>
      <c r="B121" s="163">
        <f t="shared" si="39"/>
        <v>45444</v>
      </c>
      <c r="C121" s="183">
        <f t="shared" si="41"/>
        <v>45476</v>
      </c>
      <c r="D121" s="183">
        <f t="shared" si="41"/>
        <v>45497</v>
      </c>
      <c r="E121" s="52" t="s">
        <v>13</v>
      </c>
      <c r="F121" s="128">
        <v>9</v>
      </c>
      <c r="G121" s="165">
        <v>917</v>
      </c>
      <c r="H121" s="166">
        <f t="shared" si="27"/>
        <v>1702.5353974612706</v>
      </c>
      <c r="I121" s="166">
        <f t="shared" si="38"/>
        <v>1533.3045093675044</v>
      </c>
      <c r="J121" s="167">
        <f t="shared" si="40"/>
        <v>1406040.2350900015</v>
      </c>
      <c r="K121" s="168">
        <f t="shared" si="34"/>
        <v>1561224.9594719852</v>
      </c>
      <c r="L121" s="173">
        <f t="shared" si="42"/>
        <v>-155184.72438198375</v>
      </c>
      <c r="M121" s="170">
        <f t="shared" si="28"/>
        <v>-12374.202134095294</v>
      </c>
      <c r="N121" s="171">
        <f t="shared" si="29"/>
        <v>-167558.92651607905</v>
      </c>
      <c r="O121" s="170">
        <f t="shared" si="30"/>
        <v>0</v>
      </c>
      <c r="P121" s="170">
        <f t="shared" si="31"/>
        <v>0</v>
      </c>
      <c r="Q121" s="170">
        <v>0</v>
      </c>
      <c r="R121" s="171">
        <f t="shared" si="32"/>
        <v>-167558.92651607905</v>
      </c>
    </row>
    <row r="122" spans="1:18" x14ac:dyDescent="0.25">
      <c r="A122" s="94">
        <v>7</v>
      </c>
      <c r="B122" s="163">
        <f t="shared" si="39"/>
        <v>45474</v>
      </c>
      <c r="C122" s="183">
        <f t="shared" si="41"/>
        <v>45509</v>
      </c>
      <c r="D122" s="183">
        <f t="shared" si="41"/>
        <v>45530</v>
      </c>
      <c r="E122" s="52" t="s">
        <v>13</v>
      </c>
      <c r="F122" s="128">
        <v>9</v>
      </c>
      <c r="G122" s="165">
        <v>950</v>
      </c>
      <c r="H122" s="166">
        <f t="shared" si="27"/>
        <v>1702.5353974612706</v>
      </c>
      <c r="I122" s="166">
        <f t="shared" si="38"/>
        <v>1533.3045093675044</v>
      </c>
      <c r="J122" s="167">
        <f t="shared" si="40"/>
        <v>1456639.2838991291</v>
      </c>
      <c r="K122" s="174">
        <f t="shared" si="34"/>
        <v>1617408.6275882071</v>
      </c>
      <c r="L122" s="173">
        <f t="shared" si="42"/>
        <v>-160769.343689078</v>
      </c>
      <c r="M122" s="170">
        <f t="shared" si="28"/>
        <v>-12819.511480251396</v>
      </c>
      <c r="N122" s="171">
        <f t="shared" si="29"/>
        <v>-173588.85516932938</v>
      </c>
      <c r="O122" s="170">
        <f t="shared" si="30"/>
        <v>0</v>
      </c>
      <c r="P122" s="170">
        <f t="shared" si="31"/>
        <v>0</v>
      </c>
      <c r="Q122" s="170">
        <v>0</v>
      </c>
      <c r="R122" s="171">
        <f t="shared" si="32"/>
        <v>-173588.85516932938</v>
      </c>
    </row>
    <row r="123" spans="1:18" x14ac:dyDescent="0.25">
      <c r="A123" s="128">
        <v>8</v>
      </c>
      <c r="B123" s="163">
        <f t="shared" si="39"/>
        <v>45505</v>
      </c>
      <c r="C123" s="183">
        <f t="shared" si="41"/>
        <v>45539</v>
      </c>
      <c r="D123" s="183">
        <f t="shared" si="41"/>
        <v>45559</v>
      </c>
      <c r="E123" s="52" t="s">
        <v>13</v>
      </c>
      <c r="F123" s="128">
        <v>9</v>
      </c>
      <c r="G123" s="165">
        <v>940</v>
      </c>
      <c r="H123" s="166">
        <f t="shared" si="27"/>
        <v>1702.5353974612706</v>
      </c>
      <c r="I123" s="166">
        <f t="shared" si="38"/>
        <v>1533.3045093675044</v>
      </c>
      <c r="J123" s="167">
        <f t="shared" si="40"/>
        <v>1441306.238805454</v>
      </c>
      <c r="K123" s="174">
        <f t="shared" si="34"/>
        <v>1600383.2736135942</v>
      </c>
      <c r="L123" s="173">
        <f t="shared" si="42"/>
        <v>-159077.03480814025</v>
      </c>
      <c r="M123" s="170">
        <f t="shared" si="28"/>
        <v>-12684.569254143486</v>
      </c>
      <c r="N123" s="171">
        <f t="shared" si="29"/>
        <v>-171761.60406228373</v>
      </c>
      <c r="O123" s="170">
        <f t="shared" si="30"/>
        <v>0</v>
      </c>
      <c r="P123" s="170">
        <f t="shared" si="31"/>
        <v>0</v>
      </c>
      <c r="Q123" s="170">
        <v>0</v>
      </c>
      <c r="R123" s="171">
        <f t="shared" si="32"/>
        <v>-171761.60406228373</v>
      </c>
    </row>
    <row r="124" spans="1:18" x14ac:dyDescent="0.25">
      <c r="A124" s="128">
        <v>9</v>
      </c>
      <c r="B124" s="163">
        <f t="shared" si="39"/>
        <v>45536</v>
      </c>
      <c r="C124" s="183">
        <f t="shared" si="41"/>
        <v>45568</v>
      </c>
      <c r="D124" s="183">
        <f t="shared" si="41"/>
        <v>45589</v>
      </c>
      <c r="E124" s="52" t="s">
        <v>13</v>
      </c>
      <c r="F124" s="128">
        <v>9</v>
      </c>
      <c r="G124" s="165">
        <v>816</v>
      </c>
      <c r="H124" s="166">
        <f t="shared" si="27"/>
        <v>1702.5353974612706</v>
      </c>
      <c r="I124" s="166">
        <f t="shared" si="38"/>
        <v>1533.3045093675044</v>
      </c>
      <c r="J124" s="167">
        <f t="shared" si="40"/>
        <v>1251176.4796438836</v>
      </c>
      <c r="K124" s="174">
        <f t="shared" si="34"/>
        <v>1389268.8843283968</v>
      </c>
      <c r="L124" s="173">
        <f t="shared" si="42"/>
        <v>-138092.40468451311</v>
      </c>
      <c r="M124" s="170">
        <f t="shared" si="28"/>
        <v>-11011.285650405409</v>
      </c>
      <c r="N124" s="171">
        <f t="shared" si="29"/>
        <v>-149103.69033491853</v>
      </c>
      <c r="O124" s="170">
        <f t="shared" si="30"/>
        <v>0</v>
      </c>
      <c r="P124" s="170">
        <f t="shared" si="31"/>
        <v>0</v>
      </c>
      <c r="Q124" s="170">
        <v>0</v>
      </c>
      <c r="R124" s="171">
        <f t="shared" si="32"/>
        <v>-149103.69033491853</v>
      </c>
    </row>
    <row r="125" spans="1:18" x14ac:dyDescent="0.25">
      <c r="A125" s="94">
        <v>10</v>
      </c>
      <c r="B125" s="163">
        <f t="shared" si="39"/>
        <v>45566</v>
      </c>
      <c r="C125" s="183">
        <f t="shared" si="41"/>
        <v>45601</v>
      </c>
      <c r="D125" s="183">
        <f t="shared" si="41"/>
        <v>45621</v>
      </c>
      <c r="E125" s="52" t="s">
        <v>13</v>
      </c>
      <c r="F125" s="128">
        <v>9</v>
      </c>
      <c r="G125" s="165">
        <v>683</v>
      </c>
      <c r="H125" s="166">
        <f t="shared" si="27"/>
        <v>1702.5353974612706</v>
      </c>
      <c r="I125" s="166">
        <f t="shared" si="38"/>
        <v>1533.3045093675044</v>
      </c>
      <c r="J125" s="167">
        <f t="shared" si="40"/>
        <v>1047246.9798980055</v>
      </c>
      <c r="K125" s="174">
        <f t="shared" si="34"/>
        <v>1162831.6764660478</v>
      </c>
      <c r="L125" s="173">
        <f t="shared" si="42"/>
        <v>-115584.69656804227</v>
      </c>
      <c r="M125" s="170">
        <f t="shared" si="28"/>
        <v>-9216.5540431702138</v>
      </c>
      <c r="N125" s="171">
        <f t="shared" si="29"/>
        <v>-124801.25061121248</v>
      </c>
      <c r="O125" s="170">
        <f t="shared" si="30"/>
        <v>0</v>
      </c>
      <c r="P125" s="170">
        <f t="shared" si="31"/>
        <v>0</v>
      </c>
      <c r="Q125" s="170">
        <v>0</v>
      </c>
      <c r="R125" s="171">
        <f t="shared" si="32"/>
        <v>-124801.25061121248</v>
      </c>
    </row>
    <row r="126" spans="1:18" x14ac:dyDescent="0.25">
      <c r="A126" s="128">
        <v>11</v>
      </c>
      <c r="B126" s="163">
        <f t="shared" si="39"/>
        <v>45597</v>
      </c>
      <c r="C126" s="183">
        <f t="shared" si="41"/>
        <v>45630</v>
      </c>
      <c r="D126" s="183">
        <f t="shared" si="41"/>
        <v>45650</v>
      </c>
      <c r="E126" s="52" t="s">
        <v>13</v>
      </c>
      <c r="F126" s="128">
        <v>9</v>
      </c>
      <c r="G126" s="165">
        <v>525</v>
      </c>
      <c r="H126" s="166">
        <f t="shared" si="27"/>
        <v>1702.5353974612706</v>
      </c>
      <c r="I126" s="166">
        <f t="shared" si="38"/>
        <v>1533.3045093675044</v>
      </c>
      <c r="J126" s="167">
        <f t="shared" si="40"/>
        <v>804984.86741793982</v>
      </c>
      <c r="K126" s="174">
        <f t="shared" si="34"/>
        <v>893831.083667167</v>
      </c>
      <c r="L126" s="173">
        <f t="shared" si="42"/>
        <v>-88846.216249227175</v>
      </c>
      <c r="M126" s="170">
        <f t="shared" si="28"/>
        <v>-7084.4668706652456</v>
      </c>
      <c r="N126" s="171">
        <f t="shared" si="29"/>
        <v>-95930.683119892419</v>
      </c>
      <c r="O126" s="170">
        <f t="shared" si="30"/>
        <v>0</v>
      </c>
      <c r="P126" s="170">
        <f t="shared" si="31"/>
        <v>0</v>
      </c>
      <c r="Q126" s="170">
        <v>0</v>
      </c>
      <c r="R126" s="171">
        <f t="shared" si="32"/>
        <v>-95930.683119892419</v>
      </c>
    </row>
    <row r="127" spans="1:18" s="187" customFormat="1" x14ac:dyDescent="0.25">
      <c r="A127" s="128">
        <v>12</v>
      </c>
      <c r="B127" s="185">
        <f t="shared" si="39"/>
        <v>45627</v>
      </c>
      <c r="C127" s="188">
        <f t="shared" si="41"/>
        <v>45660</v>
      </c>
      <c r="D127" s="188">
        <f t="shared" si="41"/>
        <v>45681</v>
      </c>
      <c r="E127" s="186" t="s">
        <v>13</v>
      </c>
      <c r="F127" s="139">
        <v>9</v>
      </c>
      <c r="G127" s="165">
        <v>863</v>
      </c>
      <c r="H127" s="175">
        <f t="shared" si="27"/>
        <v>1702.5353974612706</v>
      </c>
      <c r="I127" s="175">
        <f t="shared" si="38"/>
        <v>1533.3045093675044</v>
      </c>
      <c r="J127" s="176">
        <f t="shared" si="40"/>
        <v>1323241.7915841562</v>
      </c>
      <c r="K127" s="177">
        <f t="shared" si="34"/>
        <v>1469288.0480090766</v>
      </c>
      <c r="L127" s="178">
        <f t="shared" si="42"/>
        <v>-146046.2564249204</v>
      </c>
      <c r="M127" s="170">
        <f t="shared" si="28"/>
        <v>-11645.514113112584</v>
      </c>
      <c r="N127" s="171">
        <f t="shared" si="29"/>
        <v>-157691.77053803299</v>
      </c>
      <c r="O127" s="170">
        <f t="shared" si="30"/>
        <v>0</v>
      </c>
      <c r="P127" s="170">
        <f t="shared" si="31"/>
        <v>0</v>
      </c>
      <c r="Q127" s="170">
        <v>0</v>
      </c>
      <c r="R127" s="171">
        <f t="shared" si="32"/>
        <v>-157691.77053803299</v>
      </c>
    </row>
    <row r="128" spans="1:18" x14ac:dyDescent="0.25">
      <c r="A128" s="94">
        <v>1</v>
      </c>
      <c r="B128" s="163">
        <f t="shared" si="39"/>
        <v>45292</v>
      </c>
      <c r="C128" s="183">
        <f t="shared" si="41"/>
        <v>45327</v>
      </c>
      <c r="D128" s="183">
        <f t="shared" si="41"/>
        <v>45348</v>
      </c>
      <c r="E128" s="164" t="s">
        <v>15</v>
      </c>
      <c r="F128" s="94">
        <v>9</v>
      </c>
      <c r="G128" s="165">
        <v>8</v>
      </c>
      <c r="H128" s="166">
        <f t="shared" si="27"/>
        <v>1702.5353974612706</v>
      </c>
      <c r="I128" s="166">
        <f t="shared" ref="I128:I147" si="43">$J$3</f>
        <v>1533.3045093675044</v>
      </c>
      <c r="J128" s="167">
        <f t="shared" si="40"/>
        <v>12266.436074940035</v>
      </c>
      <c r="K128" s="168">
        <f t="shared" si="34"/>
        <v>13620.283179690165</v>
      </c>
      <c r="L128" s="169">
        <f>+J128-K128</f>
        <v>-1353.8471047501298</v>
      </c>
      <c r="M128" s="170">
        <f t="shared" si="28"/>
        <v>-107.95378088632755</v>
      </c>
      <c r="N128" s="171">
        <f t="shared" si="29"/>
        <v>-1461.8008856364575</v>
      </c>
      <c r="O128" s="170">
        <f t="shared" si="30"/>
        <v>0</v>
      </c>
      <c r="P128" s="170">
        <f t="shared" si="31"/>
        <v>0</v>
      </c>
      <c r="Q128" s="170">
        <v>0</v>
      </c>
      <c r="R128" s="171">
        <f t="shared" si="32"/>
        <v>-1461.8008856364575</v>
      </c>
    </row>
    <row r="129" spans="1:18" x14ac:dyDescent="0.25">
      <c r="A129" s="128">
        <v>2</v>
      </c>
      <c r="B129" s="163">
        <f t="shared" si="39"/>
        <v>45323</v>
      </c>
      <c r="C129" s="183">
        <f t="shared" si="41"/>
        <v>45356</v>
      </c>
      <c r="D129" s="183">
        <f t="shared" si="41"/>
        <v>45376</v>
      </c>
      <c r="E129" s="172" t="s">
        <v>15</v>
      </c>
      <c r="F129" s="128">
        <v>9</v>
      </c>
      <c r="G129" s="165">
        <v>5</v>
      </c>
      <c r="H129" s="166">
        <f t="shared" si="27"/>
        <v>1702.5353974612706</v>
      </c>
      <c r="I129" s="166">
        <f t="shared" si="43"/>
        <v>1533.3045093675044</v>
      </c>
      <c r="J129" s="167">
        <f t="shared" si="40"/>
        <v>7666.522546837522</v>
      </c>
      <c r="K129" s="168">
        <f t="shared" si="34"/>
        <v>8512.6769873063531</v>
      </c>
      <c r="L129" s="169">
        <f>+J129-K129</f>
        <v>-846.15444046883113</v>
      </c>
      <c r="M129" s="170">
        <f t="shared" si="28"/>
        <v>-67.471113053954724</v>
      </c>
      <c r="N129" s="171">
        <f t="shared" si="29"/>
        <v>-913.62555352278582</v>
      </c>
      <c r="O129" s="170">
        <f t="shared" si="30"/>
        <v>0</v>
      </c>
      <c r="P129" s="170">
        <f t="shared" si="31"/>
        <v>0</v>
      </c>
      <c r="Q129" s="170">
        <v>0</v>
      </c>
      <c r="R129" s="171">
        <f t="shared" si="32"/>
        <v>-913.62555352278582</v>
      </c>
    </row>
    <row r="130" spans="1:18" x14ac:dyDescent="0.25">
      <c r="A130" s="128">
        <v>3</v>
      </c>
      <c r="B130" s="163">
        <f t="shared" si="39"/>
        <v>45352</v>
      </c>
      <c r="C130" s="183">
        <f t="shared" si="41"/>
        <v>45385</v>
      </c>
      <c r="D130" s="183">
        <f t="shared" si="41"/>
        <v>45406</v>
      </c>
      <c r="E130" s="172" t="s">
        <v>15</v>
      </c>
      <c r="F130" s="128">
        <v>9</v>
      </c>
      <c r="G130" s="165">
        <v>5</v>
      </c>
      <c r="H130" s="166">
        <f t="shared" si="27"/>
        <v>1702.5353974612706</v>
      </c>
      <c r="I130" s="166">
        <f t="shared" si="43"/>
        <v>1533.3045093675044</v>
      </c>
      <c r="J130" s="167">
        <f t="shared" si="40"/>
        <v>7666.522546837522</v>
      </c>
      <c r="K130" s="168">
        <f t="shared" si="34"/>
        <v>8512.6769873063531</v>
      </c>
      <c r="L130" s="169">
        <f>+J130-K130</f>
        <v>-846.15444046883113</v>
      </c>
      <c r="M130" s="170">
        <f t="shared" si="28"/>
        <v>-67.471113053954724</v>
      </c>
      <c r="N130" s="171">
        <f t="shared" si="29"/>
        <v>-913.62555352278582</v>
      </c>
      <c r="O130" s="170">
        <f t="shared" si="30"/>
        <v>0</v>
      </c>
      <c r="P130" s="170">
        <f t="shared" si="31"/>
        <v>0</v>
      </c>
      <c r="Q130" s="170">
        <v>0</v>
      </c>
      <c r="R130" s="171">
        <f t="shared" si="32"/>
        <v>-913.62555352278582</v>
      </c>
    </row>
    <row r="131" spans="1:18" x14ac:dyDescent="0.25">
      <c r="A131" s="94">
        <v>4</v>
      </c>
      <c r="B131" s="163">
        <f t="shared" si="39"/>
        <v>45383</v>
      </c>
      <c r="C131" s="183">
        <f t="shared" si="41"/>
        <v>45415</v>
      </c>
      <c r="D131" s="183">
        <f t="shared" si="41"/>
        <v>45436</v>
      </c>
      <c r="E131" s="172" t="s">
        <v>15</v>
      </c>
      <c r="F131" s="128">
        <v>9</v>
      </c>
      <c r="G131" s="165">
        <v>6</v>
      </c>
      <c r="H131" s="166">
        <f t="shared" si="27"/>
        <v>1702.5353974612706</v>
      </c>
      <c r="I131" s="166">
        <f t="shared" si="43"/>
        <v>1533.3045093675044</v>
      </c>
      <c r="J131" s="167">
        <f t="shared" si="40"/>
        <v>9199.8270562050257</v>
      </c>
      <c r="K131" s="168">
        <f t="shared" si="34"/>
        <v>10215.212384767623</v>
      </c>
      <c r="L131" s="169">
        <f t="shared" ref="L131:L141" si="44">+J131-K131</f>
        <v>-1015.3853285625974</v>
      </c>
      <c r="M131" s="170">
        <f t="shared" si="28"/>
        <v>-80.965335664745652</v>
      </c>
      <c r="N131" s="171">
        <f t="shared" si="29"/>
        <v>-1096.350664227343</v>
      </c>
      <c r="O131" s="170">
        <f t="shared" si="30"/>
        <v>0</v>
      </c>
      <c r="P131" s="170">
        <f t="shared" si="31"/>
        <v>0</v>
      </c>
      <c r="Q131" s="170">
        <v>0</v>
      </c>
      <c r="R131" s="171">
        <f t="shared" si="32"/>
        <v>-1096.350664227343</v>
      </c>
    </row>
    <row r="132" spans="1:18" x14ac:dyDescent="0.25">
      <c r="A132" s="128">
        <v>5</v>
      </c>
      <c r="B132" s="163">
        <f t="shared" si="39"/>
        <v>45413</v>
      </c>
      <c r="C132" s="183">
        <f t="shared" si="41"/>
        <v>45448</v>
      </c>
      <c r="D132" s="183">
        <f t="shared" si="41"/>
        <v>45467</v>
      </c>
      <c r="E132" s="52" t="s">
        <v>15</v>
      </c>
      <c r="F132" s="128">
        <v>9</v>
      </c>
      <c r="G132" s="165">
        <v>9</v>
      </c>
      <c r="H132" s="166">
        <f t="shared" si="27"/>
        <v>1702.5353974612706</v>
      </c>
      <c r="I132" s="166">
        <f t="shared" si="43"/>
        <v>1533.3045093675044</v>
      </c>
      <c r="J132" s="167">
        <f t="shared" si="40"/>
        <v>13799.740584307539</v>
      </c>
      <c r="K132" s="168">
        <f t="shared" si="34"/>
        <v>15322.818577151435</v>
      </c>
      <c r="L132" s="169">
        <f t="shared" si="44"/>
        <v>-1523.0779928438951</v>
      </c>
      <c r="M132" s="170">
        <f t="shared" si="28"/>
        <v>-121.44800349711849</v>
      </c>
      <c r="N132" s="171">
        <f t="shared" si="29"/>
        <v>-1644.5259963410135</v>
      </c>
      <c r="O132" s="170">
        <f t="shared" si="30"/>
        <v>0</v>
      </c>
      <c r="P132" s="170">
        <f t="shared" si="31"/>
        <v>0</v>
      </c>
      <c r="Q132" s="170">
        <v>0</v>
      </c>
      <c r="R132" s="171">
        <f t="shared" si="32"/>
        <v>-1644.5259963410135</v>
      </c>
    </row>
    <row r="133" spans="1:18" x14ac:dyDescent="0.25">
      <c r="A133" s="128">
        <v>6</v>
      </c>
      <c r="B133" s="163">
        <f t="shared" si="39"/>
        <v>45444</v>
      </c>
      <c r="C133" s="183">
        <f t="shared" si="41"/>
        <v>45476</v>
      </c>
      <c r="D133" s="183">
        <f t="shared" si="41"/>
        <v>45497</v>
      </c>
      <c r="E133" s="52" t="s">
        <v>15</v>
      </c>
      <c r="F133" s="128">
        <v>9</v>
      </c>
      <c r="G133" s="165">
        <v>14</v>
      </c>
      <c r="H133" s="166">
        <f t="shared" si="27"/>
        <v>1702.5353974612706</v>
      </c>
      <c r="I133" s="166">
        <f t="shared" si="43"/>
        <v>1533.3045093675044</v>
      </c>
      <c r="J133" s="167">
        <f t="shared" si="40"/>
        <v>21466.26313114506</v>
      </c>
      <c r="K133" s="168">
        <f t="shared" si="34"/>
        <v>23835.495564457789</v>
      </c>
      <c r="L133" s="173">
        <f t="shared" si="44"/>
        <v>-2369.232433312729</v>
      </c>
      <c r="M133" s="170">
        <f t="shared" si="28"/>
        <v>-188.91911655107322</v>
      </c>
      <c r="N133" s="171">
        <f t="shared" si="29"/>
        <v>-2558.1515498638023</v>
      </c>
      <c r="O133" s="170">
        <f t="shared" si="30"/>
        <v>0</v>
      </c>
      <c r="P133" s="170">
        <f t="shared" si="31"/>
        <v>0</v>
      </c>
      <c r="Q133" s="170">
        <v>0</v>
      </c>
      <c r="R133" s="171">
        <f t="shared" si="32"/>
        <v>-2558.1515498638023</v>
      </c>
    </row>
    <row r="134" spans="1:18" x14ac:dyDescent="0.25">
      <c r="A134" s="94">
        <v>7</v>
      </c>
      <c r="B134" s="163">
        <f t="shared" si="39"/>
        <v>45474</v>
      </c>
      <c r="C134" s="183">
        <f t="shared" si="41"/>
        <v>45509</v>
      </c>
      <c r="D134" s="183">
        <f t="shared" si="41"/>
        <v>45530</v>
      </c>
      <c r="E134" s="52" t="s">
        <v>15</v>
      </c>
      <c r="F134" s="128">
        <v>9</v>
      </c>
      <c r="G134" s="165">
        <v>17</v>
      </c>
      <c r="H134" s="166">
        <f t="shared" si="27"/>
        <v>1702.5353974612706</v>
      </c>
      <c r="I134" s="166">
        <f t="shared" si="43"/>
        <v>1533.3045093675044</v>
      </c>
      <c r="J134" s="167">
        <f t="shared" si="40"/>
        <v>26066.176659247572</v>
      </c>
      <c r="K134" s="174">
        <f t="shared" ref="K134:K197" si="45">+$G134*H134</f>
        <v>28943.101756841599</v>
      </c>
      <c r="L134" s="173">
        <f t="shared" si="44"/>
        <v>-2876.9250975940267</v>
      </c>
      <c r="M134" s="170">
        <f t="shared" si="28"/>
        <v>-229.40178438344603</v>
      </c>
      <c r="N134" s="171">
        <f t="shared" si="29"/>
        <v>-3106.3268819774726</v>
      </c>
      <c r="O134" s="170">
        <f t="shared" si="30"/>
        <v>0</v>
      </c>
      <c r="P134" s="170">
        <f t="shared" si="31"/>
        <v>0</v>
      </c>
      <c r="Q134" s="170">
        <v>0</v>
      </c>
      <c r="R134" s="171">
        <f t="shared" si="32"/>
        <v>-3106.3268819774726</v>
      </c>
    </row>
    <row r="135" spans="1:18" x14ac:dyDescent="0.25">
      <c r="A135" s="128">
        <v>8</v>
      </c>
      <c r="B135" s="163">
        <f t="shared" si="39"/>
        <v>45505</v>
      </c>
      <c r="C135" s="183">
        <f t="shared" si="41"/>
        <v>45539</v>
      </c>
      <c r="D135" s="183">
        <f t="shared" si="41"/>
        <v>45559</v>
      </c>
      <c r="E135" s="52" t="s">
        <v>15</v>
      </c>
      <c r="F135" s="128">
        <v>9</v>
      </c>
      <c r="G135" s="165">
        <v>19</v>
      </c>
      <c r="H135" s="166">
        <f t="shared" si="27"/>
        <v>1702.5353974612706</v>
      </c>
      <c r="I135" s="166">
        <f t="shared" si="43"/>
        <v>1533.3045093675044</v>
      </c>
      <c r="J135" s="167">
        <f t="shared" si="40"/>
        <v>29132.785677982582</v>
      </c>
      <c r="K135" s="174">
        <f t="shared" si="45"/>
        <v>32348.172551764143</v>
      </c>
      <c r="L135" s="173">
        <f t="shared" si="44"/>
        <v>-3215.386873781561</v>
      </c>
      <c r="M135" s="170">
        <f t="shared" si="28"/>
        <v>-256.39022960502791</v>
      </c>
      <c r="N135" s="171">
        <f t="shared" si="29"/>
        <v>-3471.7771033865888</v>
      </c>
      <c r="O135" s="170">
        <f t="shared" si="30"/>
        <v>0</v>
      </c>
      <c r="P135" s="170">
        <f t="shared" si="31"/>
        <v>0</v>
      </c>
      <c r="Q135" s="170">
        <v>0</v>
      </c>
      <c r="R135" s="171">
        <f t="shared" si="32"/>
        <v>-3471.7771033865888</v>
      </c>
    </row>
    <row r="136" spans="1:18" x14ac:dyDescent="0.25">
      <c r="A136" s="128">
        <v>9</v>
      </c>
      <c r="B136" s="163">
        <f t="shared" si="39"/>
        <v>45536</v>
      </c>
      <c r="C136" s="183">
        <f t="shared" si="41"/>
        <v>45568</v>
      </c>
      <c r="D136" s="183">
        <f t="shared" si="41"/>
        <v>45589</v>
      </c>
      <c r="E136" s="52" t="s">
        <v>15</v>
      </c>
      <c r="F136" s="128">
        <v>9</v>
      </c>
      <c r="G136" s="165">
        <v>11</v>
      </c>
      <c r="H136" s="166">
        <f t="shared" si="27"/>
        <v>1702.5353974612706</v>
      </c>
      <c r="I136" s="166">
        <f t="shared" si="43"/>
        <v>1533.3045093675044</v>
      </c>
      <c r="J136" s="167">
        <f t="shared" si="40"/>
        <v>16866.349603042549</v>
      </c>
      <c r="K136" s="174">
        <f t="shared" si="45"/>
        <v>18727.889372073976</v>
      </c>
      <c r="L136" s="173">
        <f t="shared" si="44"/>
        <v>-1861.5397690314276</v>
      </c>
      <c r="M136" s="170">
        <f t="shared" si="28"/>
        <v>-148.43644871870038</v>
      </c>
      <c r="N136" s="171">
        <f t="shared" si="29"/>
        <v>-2009.9762177501279</v>
      </c>
      <c r="O136" s="170">
        <f t="shared" si="30"/>
        <v>0</v>
      </c>
      <c r="P136" s="170">
        <f t="shared" si="31"/>
        <v>0</v>
      </c>
      <c r="Q136" s="170">
        <v>0</v>
      </c>
      <c r="R136" s="171">
        <f t="shared" si="32"/>
        <v>-2009.9762177501279</v>
      </c>
    </row>
    <row r="137" spans="1:18" x14ac:dyDescent="0.25">
      <c r="A137" s="94">
        <v>10</v>
      </c>
      <c r="B137" s="163">
        <f t="shared" si="39"/>
        <v>45566</v>
      </c>
      <c r="C137" s="183">
        <f t="shared" si="41"/>
        <v>45601</v>
      </c>
      <c r="D137" s="183">
        <f t="shared" si="41"/>
        <v>45621</v>
      </c>
      <c r="E137" s="52" t="s">
        <v>15</v>
      </c>
      <c r="F137" s="128">
        <v>9</v>
      </c>
      <c r="G137" s="165">
        <v>6</v>
      </c>
      <c r="H137" s="166">
        <f t="shared" si="27"/>
        <v>1702.5353974612706</v>
      </c>
      <c r="I137" s="166">
        <f t="shared" si="43"/>
        <v>1533.3045093675044</v>
      </c>
      <c r="J137" s="167">
        <f t="shared" si="40"/>
        <v>9199.8270562050257</v>
      </c>
      <c r="K137" s="174">
        <f t="shared" si="45"/>
        <v>10215.212384767623</v>
      </c>
      <c r="L137" s="173">
        <f t="shared" si="44"/>
        <v>-1015.3853285625974</v>
      </c>
      <c r="M137" s="170">
        <f t="shared" si="28"/>
        <v>-80.965335664745652</v>
      </c>
      <c r="N137" s="171">
        <f t="shared" si="29"/>
        <v>-1096.350664227343</v>
      </c>
      <c r="O137" s="170">
        <f t="shared" si="30"/>
        <v>0</v>
      </c>
      <c r="P137" s="170">
        <f t="shared" si="31"/>
        <v>0</v>
      </c>
      <c r="Q137" s="170">
        <v>0</v>
      </c>
      <c r="R137" s="171">
        <f t="shared" si="32"/>
        <v>-1096.350664227343</v>
      </c>
    </row>
    <row r="138" spans="1:18" x14ac:dyDescent="0.25">
      <c r="A138" s="128">
        <v>11</v>
      </c>
      <c r="B138" s="163">
        <f t="shared" si="39"/>
        <v>45597</v>
      </c>
      <c r="C138" s="183">
        <f t="shared" si="41"/>
        <v>45630</v>
      </c>
      <c r="D138" s="183">
        <f t="shared" si="41"/>
        <v>45650</v>
      </c>
      <c r="E138" s="52" t="s">
        <v>15</v>
      </c>
      <c r="F138" s="128">
        <v>9</v>
      </c>
      <c r="G138" s="165">
        <v>6</v>
      </c>
      <c r="H138" s="166">
        <f t="shared" si="27"/>
        <v>1702.5353974612706</v>
      </c>
      <c r="I138" s="166">
        <f t="shared" si="43"/>
        <v>1533.3045093675044</v>
      </c>
      <c r="J138" s="167">
        <f t="shared" si="40"/>
        <v>9199.8270562050257</v>
      </c>
      <c r="K138" s="174">
        <f t="shared" si="45"/>
        <v>10215.212384767623</v>
      </c>
      <c r="L138" s="173">
        <f t="shared" si="44"/>
        <v>-1015.3853285625974</v>
      </c>
      <c r="M138" s="170">
        <f t="shared" si="28"/>
        <v>-80.965335664745652</v>
      </c>
      <c r="N138" s="171">
        <f t="shared" si="29"/>
        <v>-1096.350664227343</v>
      </c>
      <c r="O138" s="170">
        <f t="shared" si="30"/>
        <v>0</v>
      </c>
      <c r="P138" s="170">
        <f t="shared" si="31"/>
        <v>0</v>
      </c>
      <c r="Q138" s="170">
        <v>0</v>
      </c>
      <c r="R138" s="171">
        <f t="shared" si="32"/>
        <v>-1096.350664227343</v>
      </c>
    </row>
    <row r="139" spans="1:18" s="187" customFormat="1" x14ac:dyDescent="0.25">
      <c r="A139" s="128">
        <v>12</v>
      </c>
      <c r="B139" s="185">
        <f t="shared" si="39"/>
        <v>45627</v>
      </c>
      <c r="C139" s="183">
        <f t="shared" si="41"/>
        <v>45660</v>
      </c>
      <c r="D139" s="183">
        <f t="shared" si="41"/>
        <v>45681</v>
      </c>
      <c r="E139" s="186" t="s">
        <v>15</v>
      </c>
      <c r="F139" s="139">
        <v>9</v>
      </c>
      <c r="G139" s="165">
        <v>6</v>
      </c>
      <c r="H139" s="175">
        <f t="shared" si="27"/>
        <v>1702.5353974612706</v>
      </c>
      <c r="I139" s="175">
        <f t="shared" si="43"/>
        <v>1533.3045093675044</v>
      </c>
      <c r="J139" s="176">
        <f t="shared" si="40"/>
        <v>9199.8270562050257</v>
      </c>
      <c r="K139" s="177">
        <f t="shared" si="45"/>
        <v>10215.212384767623</v>
      </c>
      <c r="L139" s="178">
        <f t="shared" si="44"/>
        <v>-1015.3853285625974</v>
      </c>
      <c r="M139" s="170">
        <f t="shared" si="28"/>
        <v>-80.965335664745652</v>
      </c>
      <c r="N139" s="171">
        <f t="shared" si="29"/>
        <v>-1096.350664227343</v>
      </c>
      <c r="O139" s="170">
        <f t="shared" si="30"/>
        <v>0</v>
      </c>
      <c r="P139" s="170">
        <f t="shared" si="31"/>
        <v>0</v>
      </c>
      <c r="Q139" s="170">
        <v>0</v>
      </c>
      <c r="R139" s="171">
        <f t="shared" si="32"/>
        <v>-1096.350664227343</v>
      </c>
    </row>
    <row r="140" spans="1:18" x14ac:dyDescent="0.25">
      <c r="A140" s="94">
        <v>1</v>
      </c>
      <c r="B140" s="163">
        <f t="shared" si="39"/>
        <v>45292</v>
      </c>
      <c r="C140" s="180">
        <f t="shared" ref="C140:D151" si="46">+C128</f>
        <v>45327</v>
      </c>
      <c r="D140" s="180">
        <f t="shared" si="46"/>
        <v>45348</v>
      </c>
      <c r="E140" s="190" t="s">
        <v>16</v>
      </c>
      <c r="F140" s="128">
        <v>9</v>
      </c>
      <c r="G140" s="165">
        <v>4</v>
      </c>
      <c r="H140" s="166">
        <f t="shared" si="27"/>
        <v>1702.5353974612706</v>
      </c>
      <c r="I140" s="166">
        <f t="shared" si="43"/>
        <v>1533.3045093675044</v>
      </c>
      <c r="J140" s="167">
        <f t="shared" si="40"/>
        <v>6133.2180374700174</v>
      </c>
      <c r="K140" s="168">
        <f t="shared" si="45"/>
        <v>6810.1415898450823</v>
      </c>
      <c r="L140" s="169">
        <f t="shared" si="44"/>
        <v>-676.9235523750649</v>
      </c>
      <c r="M140" s="170">
        <f t="shared" si="28"/>
        <v>-53.976890443163775</v>
      </c>
      <c r="N140" s="171">
        <f t="shared" si="29"/>
        <v>-730.90044281822873</v>
      </c>
      <c r="O140" s="170">
        <f t="shared" si="30"/>
        <v>0</v>
      </c>
      <c r="P140" s="170">
        <f t="shared" si="31"/>
        <v>0</v>
      </c>
      <c r="Q140" s="170">
        <v>0</v>
      </c>
      <c r="R140" s="171">
        <f t="shared" si="32"/>
        <v>-730.90044281822873</v>
      </c>
    </row>
    <row r="141" spans="1:18" x14ac:dyDescent="0.25">
      <c r="A141" s="128">
        <v>2</v>
      </c>
      <c r="B141" s="163">
        <f t="shared" si="39"/>
        <v>45323</v>
      </c>
      <c r="C141" s="183">
        <f t="shared" si="46"/>
        <v>45356</v>
      </c>
      <c r="D141" s="183">
        <f t="shared" si="46"/>
        <v>45376</v>
      </c>
      <c r="E141" s="52" t="s">
        <v>16</v>
      </c>
      <c r="F141" s="128">
        <v>9</v>
      </c>
      <c r="G141" s="165">
        <v>3</v>
      </c>
      <c r="H141" s="166">
        <f t="shared" si="27"/>
        <v>1702.5353974612706</v>
      </c>
      <c r="I141" s="166">
        <f t="shared" si="43"/>
        <v>1533.3045093675044</v>
      </c>
      <c r="J141" s="167">
        <f t="shared" si="40"/>
        <v>4599.9135281025128</v>
      </c>
      <c r="K141" s="168">
        <f t="shared" si="45"/>
        <v>5107.6061923838115</v>
      </c>
      <c r="L141" s="169">
        <f t="shared" si="44"/>
        <v>-507.69266428129868</v>
      </c>
      <c r="M141" s="170">
        <f t="shared" si="28"/>
        <v>-40.482667832372826</v>
      </c>
      <c r="N141" s="171">
        <f t="shared" si="29"/>
        <v>-548.17533211367152</v>
      </c>
      <c r="O141" s="170">
        <f t="shared" si="30"/>
        <v>0</v>
      </c>
      <c r="P141" s="170">
        <f t="shared" si="31"/>
        <v>0</v>
      </c>
      <c r="Q141" s="170">
        <v>0</v>
      </c>
      <c r="R141" s="171">
        <f t="shared" si="32"/>
        <v>-548.17533211367152</v>
      </c>
    </row>
    <row r="142" spans="1:18" x14ac:dyDescent="0.25">
      <c r="A142" s="128">
        <v>3</v>
      </c>
      <c r="B142" s="163">
        <f t="shared" si="39"/>
        <v>45352</v>
      </c>
      <c r="C142" s="183">
        <f t="shared" si="46"/>
        <v>45385</v>
      </c>
      <c r="D142" s="183">
        <f t="shared" si="46"/>
        <v>45406</v>
      </c>
      <c r="E142" s="52" t="s">
        <v>16</v>
      </c>
      <c r="F142" s="128">
        <v>9</v>
      </c>
      <c r="G142" s="165">
        <v>3</v>
      </c>
      <c r="H142" s="166">
        <f t="shared" si="27"/>
        <v>1702.5353974612706</v>
      </c>
      <c r="I142" s="166">
        <f t="shared" si="43"/>
        <v>1533.3045093675044</v>
      </c>
      <c r="J142" s="167">
        <f t="shared" si="40"/>
        <v>4599.9135281025128</v>
      </c>
      <c r="K142" s="168">
        <f t="shared" si="45"/>
        <v>5107.6061923838115</v>
      </c>
      <c r="L142" s="169">
        <f>+J142-K142</f>
        <v>-507.69266428129868</v>
      </c>
      <c r="M142" s="170">
        <f t="shared" si="28"/>
        <v>-40.482667832372826</v>
      </c>
      <c r="N142" s="171">
        <f t="shared" si="29"/>
        <v>-548.17533211367152</v>
      </c>
      <c r="O142" s="170">
        <f t="shared" si="30"/>
        <v>0</v>
      </c>
      <c r="P142" s="170">
        <f t="shared" si="31"/>
        <v>0</v>
      </c>
      <c r="Q142" s="170">
        <v>0</v>
      </c>
      <c r="R142" s="171">
        <f t="shared" si="32"/>
        <v>-548.17533211367152</v>
      </c>
    </row>
    <row r="143" spans="1:18" x14ac:dyDescent="0.25">
      <c r="A143" s="94">
        <v>4</v>
      </c>
      <c r="B143" s="163">
        <f t="shared" si="39"/>
        <v>45383</v>
      </c>
      <c r="C143" s="183">
        <f t="shared" si="46"/>
        <v>45415</v>
      </c>
      <c r="D143" s="183">
        <f t="shared" si="46"/>
        <v>45436</v>
      </c>
      <c r="E143" s="52" t="s">
        <v>16</v>
      </c>
      <c r="F143" s="128">
        <v>9</v>
      </c>
      <c r="G143" s="165">
        <v>2</v>
      </c>
      <c r="H143" s="166">
        <f t="shared" si="27"/>
        <v>1702.5353974612706</v>
      </c>
      <c r="I143" s="166">
        <f t="shared" si="43"/>
        <v>1533.3045093675044</v>
      </c>
      <c r="J143" s="167">
        <f t="shared" si="40"/>
        <v>3066.6090187350087</v>
      </c>
      <c r="K143" s="168">
        <f t="shared" si="45"/>
        <v>3405.0707949225412</v>
      </c>
      <c r="L143" s="169">
        <f t="shared" ref="L143:L153" si="47">+J143-K143</f>
        <v>-338.46177618753245</v>
      </c>
      <c r="M143" s="170">
        <f t="shared" si="28"/>
        <v>-26.988445221581888</v>
      </c>
      <c r="N143" s="171">
        <f t="shared" si="29"/>
        <v>-365.45022140911436</v>
      </c>
      <c r="O143" s="170">
        <f t="shared" si="30"/>
        <v>0</v>
      </c>
      <c r="P143" s="170">
        <f t="shared" si="31"/>
        <v>0</v>
      </c>
      <c r="Q143" s="170">
        <v>0</v>
      </c>
      <c r="R143" s="171">
        <f t="shared" si="32"/>
        <v>-365.45022140911436</v>
      </c>
    </row>
    <row r="144" spans="1:18" x14ac:dyDescent="0.25">
      <c r="A144" s="128">
        <v>5</v>
      </c>
      <c r="B144" s="163">
        <f t="shared" si="39"/>
        <v>45413</v>
      </c>
      <c r="C144" s="183">
        <f t="shared" si="46"/>
        <v>45448</v>
      </c>
      <c r="D144" s="183">
        <f t="shared" si="46"/>
        <v>45467</v>
      </c>
      <c r="E144" s="52" t="s">
        <v>16</v>
      </c>
      <c r="F144" s="128">
        <v>9</v>
      </c>
      <c r="G144" s="165">
        <v>4</v>
      </c>
      <c r="H144" s="166">
        <f t="shared" si="27"/>
        <v>1702.5353974612706</v>
      </c>
      <c r="I144" s="166">
        <f t="shared" si="43"/>
        <v>1533.3045093675044</v>
      </c>
      <c r="J144" s="167">
        <f t="shared" si="40"/>
        <v>6133.2180374700174</v>
      </c>
      <c r="K144" s="168">
        <f t="shared" si="45"/>
        <v>6810.1415898450823</v>
      </c>
      <c r="L144" s="169">
        <f t="shared" si="47"/>
        <v>-676.9235523750649</v>
      </c>
      <c r="M144" s="170">
        <f t="shared" si="28"/>
        <v>-53.976890443163775</v>
      </c>
      <c r="N144" s="171">
        <f t="shared" si="29"/>
        <v>-730.90044281822873</v>
      </c>
      <c r="O144" s="170">
        <f t="shared" si="30"/>
        <v>0</v>
      </c>
      <c r="P144" s="170">
        <f t="shared" si="31"/>
        <v>0</v>
      </c>
      <c r="Q144" s="170">
        <v>0</v>
      </c>
      <c r="R144" s="171">
        <f t="shared" si="32"/>
        <v>-730.90044281822873</v>
      </c>
    </row>
    <row r="145" spans="1:19" x14ac:dyDescent="0.25">
      <c r="A145" s="128">
        <v>6</v>
      </c>
      <c r="B145" s="163">
        <f t="shared" si="39"/>
        <v>45444</v>
      </c>
      <c r="C145" s="183">
        <f t="shared" si="46"/>
        <v>45476</v>
      </c>
      <c r="D145" s="183">
        <f t="shared" si="46"/>
        <v>45497</v>
      </c>
      <c r="E145" s="52" t="s">
        <v>16</v>
      </c>
      <c r="F145" s="128">
        <v>9</v>
      </c>
      <c r="G145" s="165">
        <v>4</v>
      </c>
      <c r="H145" s="166">
        <f t="shared" si="27"/>
        <v>1702.5353974612706</v>
      </c>
      <c r="I145" s="166">
        <f t="shared" si="43"/>
        <v>1533.3045093675044</v>
      </c>
      <c r="J145" s="167">
        <f t="shared" si="40"/>
        <v>6133.2180374700174</v>
      </c>
      <c r="K145" s="168">
        <f t="shared" si="45"/>
        <v>6810.1415898450823</v>
      </c>
      <c r="L145" s="173">
        <f t="shared" si="47"/>
        <v>-676.9235523750649</v>
      </c>
      <c r="M145" s="170">
        <f t="shared" si="28"/>
        <v>-53.976890443163775</v>
      </c>
      <c r="N145" s="171">
        <f t="shared" si="29"/>
        <v>-730.90044281822873</v>
      </c>
      <c r="O145" s="170">
        <f t="shared" si="30"/>
        <v>0</v>
      </c>
      <c r="P145" s="170">
        <f t="shared" si="31"/>
        <v>0</v>
      </c>
      <c r="Q145" s="170">
        <v>0</v>
      </c>
      <c r="R145" s="171">
        <f t="shared" si="32"/>
        <v>-730.90044281822873</v>
      </c>
    </row>
    <row r="146" spans="1:19" x14ac:dyDescent="0.25">
      <c r="A146" s="94">
        <v>7</v>
      </c>
      <c r="B146" s="163">
        <f t="shared" si="39"/>
        <v>45474</v>
      </c>
      <c r="C146" s="183">
        <f t="shared" si="46"/>
        <v>45509</v>
      </c>
      <c r="D146" s="183">
        <f t="shared" si="46"/>
        <v>45530</v>
      </c>
      <c r="E146" s="52" t="s">
        <v>16</v>
      </c>
      <c r="F146" s="128">
        <v>9</v>
      </c>
      <c r="G146" s="165">
        <v>6</v>
      </c>
      <c r="H146" s="166">
        <f t="shared" si="27"/>
        <v>1702.5353974612706</v>
      </c>
      <c r="I146" s="166">
        <f t="shared" si="43"/>
        <v>1533.3045093675044</v>
      </c>
      <c r="J146" s="167">
        <f t="shared" si="40"/>
        <v>9199.8270562050257</v>
      </c>
      <c r="K146" s="174">
        <f t="shared" si="45"/>
        <v>10215.212384767623</v>
      </c>
      <c r="L146" s="173">
        <f t="shared" si="47"/>
        <v>-1015.3853285625974</v>
      </c>
      <c r="M146" s="170">
        <f t="shared" si="28"/>
        <v>-80.965335664745652</v>
      </c>
      <c r="N146" s="171">
        <f t="shared" si="29"/>
        <v>-1096.350664227343</v>
      </c>
      <c r="O146" s="170">
        <f t="shared" si="30"/>
        <v>0</v>
      </c>
      <c r="P146" s="170">
        <f t="shared" si="31"/>
        <v>0</v>
      </c>
      <c r="Q146" s="170">
        <v>0</v>
      </c>
      <c r="R146" s="171">
        <f t="shared" si="32"/>
        <v>-1096.350664227343</v>
      </c>
    </row>
    <row r="147" spans="1:19" x14ac:dyDescent="0.25">
      <c r="A147" s="128">
        <v>8</v>
      </c>
      <c r="B147" s="163">
        <f t="shared" si="39"/>
        <v>45505</v>
      </c>
      <c r="C147" s="183">
        <f t="shared" si="46"/>
        <v>45539</v>
      </c>
      <c r="D147" s="183">
        <f t="shared" si="46"/>
        <v>45559</v>
      </c>
      <c r="E147" s="52" t="s">
        <v>16</v>
      </c>
      <c r="F147" s="128">
        <v>9</v>
      </c>
      <c r="G147" s="165">
        <v>6</v>
      </c>
      <c r="H147" s="166">
        <f t="shared" si="27"/>
        <v>1702.5353974612706</v>
      </c>
      <c r="I147" s="166">
        <f t="shared" si="43"/>
        <v>1533.3045093675044</v>
      </c>
      <c r="J147" s="167">
        <f t="shared" si="40"/>
        <v>9199.8270562050257</v>
      </c>
      <c r="K147" s="174">
        <f t="shared" si="45"/>
        <v>10215.212384767623</v>
      </c>
      <c r="L147" s="173">
        <f t="shared" si="47"/>
        <v>-1015.3853285625974</v>
      </c>
      <c r="M147" s="170">
        <f t="shared" si="28"/>
        <v>-80.965335664745652</v>
      </c>
      <c r="N147" s="171">
        <f t="shared" si="29"/>
        <v>-1096.350664227343</v>
      </c>
      <c r="O147" s="170">
        <f t="shared" si="30"/>
        <v>0</v>
      </c>
      <c r="P147" s="170">
        <f t="shared" si="31"/>
        <v>0</v>
      </c>
      <c r="Q147" s="170">
        <v>0</v>
      </c>
      <c r="R147" s="171">
        <f t="shared" si="32"/>
        <v>-1096.350664227343</v>
      </c>
    </row>
    <row r="148" spans="1:19" x14ac:dyDescent="0.25">
      <c r="A148" s="128">
        <v>9</v>
      </c>
      <c r="B148" s="163">
        <f t="shared" si="39"/>
        <v>45536</v>
      </c>
      <c r="C148" s="183">
        <f t="shared" si="46"/>
        <v>45568</v>
      </c>
      <c r="D148" s="183">
        <f t="shared" si="46"/>
        <v>45589</v>
      </c>
      <c r="E148" s="52" t="s">
        <v>16</v>
      </c>
      <c r="F148" s="128">
        <v>9</v>
      </c>
      <c r="G148" s="165">
        <v>3</v>
      </c>
      <c r="H148" s="166">
        <f t="shared" si="27"/>
        <v>1702.5353974612706</v>
      </c>
      <c r="I148" s="166">
        <f t="shared" ref="I148:I179" si="48">$J$3</f>
        <v>1533.3045093675044</v>
      </c>
      <c r="J148" s="167">
        <f t="shared" si="40"/>
        <v>4599.9135281025128</v>
      </c>
      <c r="K148" s="174">
        <f t="shared" si="45"/>
        <v>5107.6061923838115</v>
      </c>
      <c r="L148" s="173">
        <f t="shared" si="47"/>
        <v>-507.69266428129868</v>
      </c>
      <c r="M148" s="170">
        <f t="shared" si="28"/>
        <v>-40.482667832372826</v>
      </c>
      <c r="N148" s="171">
        <f t="shared" si="29"/>
        <v>-548.17533211367152</v>
      </c>
      <c r="O148" s="170">
        <f t="shared" si="30"/>
        <v>0</v>
      </c>
      <c r="P148" s="170">
        <f t="shared" si="31"/>
        <v>0</v>
      </c>
      <c r="Q148" s="170">
        <v>0</v>
      </c>
      <c r="R148" s="171">
        <f t="shared" si="32"/>
        <v>-548.17533211367152</v>
      </c>
    </row>
    <row r="149" spans="1:19" x14ac:dyDescent="0.25">
      <c r="A149" s="94">
        <v>10</v>
      </c>
      <c r="B149" s="163">
        <f t="shared" ref="B149:B211" si="49">DATE($R$1,A149,1)</f>
        <v>45566</v>
      </c>
      <c r="C149" s="183">
        <f t="shared" si="46"/>
        <v>45601</v>
      </c>
      <c r="D149" s="183">
        <f t="shared" si="46"/>
        <v>45621</v>
      </c>
      <c r="E149" s="52" t="s">
        <v>16</v>
      </c>
      <c r="F149" s="128">
        <v>9</v>
      </c>
      <c r="G149" s="165">
        <v>6</v>
      </c>
      <c r="H149" s="166">
        <f t="shared" ref="H149:H211" si="50">+$K$3</f>
        <v>1702.5353974612706</v>
      </c>
      <c r="I149" s="166">
        <f t="shared" si="48"/>
        <v>1533.3045093675044</v>
      </c>
      <c r="J149" s="167">
        <f t="shared" ref="J149:J211" si="51">+$G149*I149</f>
        <v>9199.8270562050257</v>
      </c>
      <c r="K149" s="174">
        <f t="shared" si="45"/>
        <v>10215.212384767623</v>
      </c>
      <c r="L149" s="173">
        <f t="shared" si="47"/>
        <v>-1015.3853285625974</v>
      </c>
      <c r="M149" s="170">
        <f t="shared" ref="M149:M211" si="52">G149/$G$212*$M$14</f>
        <v>-80.965335664745652</v>
      </c>
      <c r="N149" s="171">
        <f t="shared" ref="N149:N211" si="53">SUM(L149:M149)</f>
        <v>-1096.350664227343</v>
      </c>
      <c r="O149" s="170">
        <f t="shared" ref="O149:O211" si="54">+$P$3</f>
        <v>0</v>
      </c>
      <c r="P149" s="170">
        <f t="shared" ref="P149:P211" si="55">+G149*O149</f>
        <v>0</v>
      </c>
      <c r="Q149" s="170">
        <v>0</v>
      </c>
      <c r="R149" s="171">
        <f t="shared" ref="R149:R211" si="56">+N149-Q149</f>
        <v>-1096.350664227343</v>
      </c>
    </row>
    <row r="150" spans="1:19" x14ac:dyDescent="0.25">
      <c r="A150" s="128">
        <v>11</v>
      </c>
      <c r="B150" s="163">
        <f t="shared" si="49"/>
        <v>45597</v>
      </c>
      <c r="C150" s="183">
        <f t="shared" si="46"/>
        <v>45630</v>
      </c>
      <c r="D150" s="183">
        <f t="shared" si="46"/>
        <v>45650</v>
      </c>
      <c r="E150" s="52" t="s">
        <v>16</v>
      </c>
      <c r="F150" s="128">
        <v>9</v>
      </c>
      <c r="G150" s="165">
        <v>1</v>
      </c>
      <c r="H150" s="166">
        <f t="shared" si="50"/>
        <v>1702.5353974612706</v>
      </c>
      <c r="I150" s="166">
        <f t="shared" si="48"/>
        <v>1533.3045093675044</v>
      </c>
      <c r="J150" s="167">
        <f t="shared" si="51"/>
        <v>1533.3045093675044</v>
      </c>
      <c r="K150" s="174">
        <f t="shared" si="45"/>
        <v>1702.5353974612706</v>
      </c>
      <c r="L150" s="173">
        <f t="shared" si="47"/>
        <v>-169.23088809376623</v>
      </c>
      <c r="M150" s="170">
        <f t="shared" si="52"/>
        <v>-13.494222610790944</v>
      </c>
      <c r="N150" s="171">
        <f t="shared" si="53"/>
        <v>-182.72511070455718</v>
      </c>
      <c r="O150" s="170">
        <f t="shared" si="54"/>
        <v>0</v>
      </c>
      <c r="P150" s="170">
        <f t="shared" si="55"/>
        <v>0</v>
      </c>
      <c r="Q150" s="170">
        <v>0</v>
      </c>
      <c r="R150" s="171">
        <f t="shared" si="56"/>
        <v>-182.72511070455718</v>
      </c>
    </row>
    <row r="151" spans="1:19" s="187" customFormat="1" x14ac:dyDescent="0.25">
      <c r="A151" s="128">
        <v>12</v>
      </c>
      <c r="B151" s="185">
        <f t="shared" si="49"/>
        <v>45627</v>
      </c>
      <c r="C151" s="183">
        <f t="shared" si="46"/>
        <v>45660</v>
      </c>
      <c r="D151" s="183">
        <f t="shared" si="46"/>
        <v>45681</v>
      </c>
      <c r="E151" s="186" t="s">
        <v>16</v>
      </c>
      <c r="F151" s="139">
        <v>9</v>
      </c>
      <c r="G151" s="165">
        <v>3</v>
      </c>
      <c r="H151" s="175">
        <f t="shared" si="50"/>
        <v>1702.5353974612706</v>
      </c>
      <c r="I151" s="175">
        <f t="shared" si="48"/>
        <v>1533.3045093675044</v>
      </c>
      <c r="J151" s="176">
        <f t="shared" si="51"/>
        <v>4599.9135281025128</v>
      </c>
      <c r="K151" s="177">
        <f t="shared" si="45"/>
        <v>5107.6061923838115</v>
      </c>
      <c r="L151" s="178">
        <f t="shared" si="47"/>
        <v>-507.69266428129868</v>
      </c>
      <c r="M151" s="170">
        <f t="shared" si="52"/>
        <v>-40.482667832372826</v>
      </c>
      <c r="N151" s="171">
        <f t="shared" si="53"/>
        <v>-548.17533211367152</v>
      </c>
      <c r="O151" s="170">
        <f t="shared" si="54"/>
        <v>0</v>
      </c>
      <c r="P151" s="170">
        <f t="shared" si="55"/>
        <v>0</v>
      </c>
      <c r="Q151" s="170">
        <v>0</v>
      </c>
      <c r="R151" s="171">
        <f t="shared" si="56"/>
        <v>-548.17533211367152</v>
      </c>
    </row>
    <row r="152" spans="1:19" x14ac:dyDescent="0.25">
      <c r="A152" s="94">
        <v>1</v>
      </c>
      <c r="B152" s="163">
        <f t="shared" si="49"/>
        <v>45292</v>
      </c>
      <c r="C152" s="180">
        <f t="shared" ref="C152:D171" si="57">+C140</f>
        <v>45327</v>
      </c>
      <c r="D152" s="180">
        <f t="shared" si="57"/>
        <v>45348</v>
      </c>
      <c r="E152" s="190" t="s">
        <v>56</v>
      </c>
      <c r="F152" s="94">
        <v>9</v>
      </c>
      <c r="G152" s="165">
        <v>145</v>
      </c>
      <c r="H152" s="166">
        <f t="shared" si="50"/>
        <v>1702.5353974612706</v>
      </c>
      <c r="I152" s="166">
        <f t="shared" si="48"/>
        <v>1533.3045093675044</v>
      </c>
      <c r="J152" s="167">
        <f t="shared" si="51"/>
        <v>222329.15385828813</v>
      </c>
      <c r="K152" s="168">
        <f t="shared" si="45"/>
        <v>246867.63263188425</v>
      </c>
      <c r="L152" s="169">
        <f t="shared" si="47"/>
        <v>-24538.478773596114</v>
      </c>
      <c r="M152" s="170">
        <f t="shared" si="52"/>
        <v>-1956.6622785646866</v>
      </c>
      <c r="N152" s="171">
        <f t="shared" si="53"/>
        <v>-26495.141052160801</v>
      </c>
      <c r="O152" s="170">
        <f t="shared" si="54"/>
        <v>0</v>
      </c>
      <c r="P152" s="170">
        <f t="shared" si="55"/>
        <v>0</v>
      </c>
      <c r="Q152" s="170">
        <v>0</v>
      </c>
      <c r="R152" s="171">
        <f t="shared" si="56"/>
        <v>-26495.141052160801</v>
      </c>
    </row>
    <row r="153" spans="1:19" x14ac:dyDescent="0.25">
      <c r="A153" s="128">
        <v>2</v>
      </c>
      <c r="B153" s="163">
        <f t="shared" si="49"/>
        <v>45323</v>
      </c>
      <c r="C153" s="183">
        <f t="shared" si="57"/>
        <v>45356</v>
      </c>
      <c r="D153" s="183">
        <f t="shared" si="57"/>
        <v>45376</v>
      </c>
      <c r="E153" s="191" t="s">
        <v>56</v>
      </c>
      <c r="F153" s="128">
        <v>9</v>
      </c>
      <c r="G153" s="165">
        <v>100</v>
      </c>
      <c r="H153" s="166">
        <f t="shared" si="50"/>
        <v>1702.5353974612706</v>
      </c>
      <c r="I153" s="166">
        <f t="shared" si="48"/>
        <v>1533.3045093675044</v>
      </c>
      <c r="J153" s="167">
        <f t="shared" si="51"/>
        <v>153330.45093675042</v>
      </c>
      <c r="K153" s="168">
        <f t="shared" si="45"/>
        <v>170253.53974612706</v>
      </c>
      <c r="L153" s="169">
        <f t="shared" si="47"/>
        <v>-16923.088809376641</v>
      </c>
      <c r="M153" s="170">
        <f t="shared" si="52"/>
        <v>-1349.4222610790944</v>
      </c>
      <c r="N153" s="171">
        <f t="shared" si="53"/>
        <v>-18272.511070455734</v>
      </c>
      <c r="O153" s="170">
        <f t="shared" si="54"/>
        <v>0</v>
      </c>
      <c r="P153" s="170">
        <f t="shared" si="55"/>
        <v>0</v>
      </c>
      <c r="Q153" s="170">
        <v>0</v>
      </c>
      <c r="R153" s="171">
        <f t="shared" si="56"/>
        <v>-18272.511070455734</v>
      </c>
    </row>
    <row r="154" spans="1:19" x14ac:dyDescent="0.25">
      <c r="A154" s="128">
        <v>3</v>
      </c>
      <c r="B154" s="163">
        <f t="shared" si="49"/>
        <v>45352</v>
      </c>
      <c r="C154" s="183">
        <f t="shared" si="57"/>
        <v>45385</v>
      </c>
      <c r="D154" s="183">
        <f t="shared" si="57"/>
        <v>45406</v>
      </c>
      <c r="E154" s="191" t="s">
        <v>56</v>
      </c>
      <c r="F154" s="128">
        <v>9</v>
      </c>
      <c r="G154" s="165">
        <v>92</v>
      </c>
      <c r="H154" s="166">
        <f t="shared" si="50"/>
        <v>1702.5353974612706</v>
      </c>
      <c r="I154" s="166">
        <f t="shared" si="48"/>
        <v>1533.3045093675044</v>
      </c>
      <c r="J154" s="167">
        <f t="shared" si="51"/>
        <v>141064.0148618104</v>
      </c>
      <c r="K154" s="168">
        <f t="shared" si="45"/>
        <v>156633.2565664369</v>
      </c>
      <c r="L154" s="169">
        <f>+J154-K154</f>
        <v>-15569.241704626504</v>
      </c>
      <c r="M154" s="170">
        <f t="shared" si="52"/>
        <v>-1241.4684801927667</v>
      </c>
      <c r="N154" s="171">
        <f t="shared" si="53"/>
        <v>-16810.710184819269</v>
      </c>
      <c r="O154" s="170">
        <f t="shared" si="54"/>
        <v>0</v>
      </c>
      <c r="P154" s="170">
        <f t="shared" si="55"/>
        <v>0</v>
      </c>
      <c r="Q154" s="170">
        <v>0</v>
      </c>
      <c r="R154" s="171">
        <f t="shared" si="56"/>
        <v>-16810.710184819269</v>
      </c>
    </row>
    <row r="155" spans="1:19" x14ac:dyDescent="0.25">
      <c r="A155" s="94">
        <v>4</v>
      </c>
      <c r="B155" s="163">
        <f t="shared" si="49"/>
        <v>45383</v>
      </c>
      <c r="C155" s="183">
        <f t="shared" si="57"/>
        <v>45415</v>
      </c>
      <c r="D155" s="183">
        <f t="shared" si="57"/>
        <v>45436</v>
      </c>
      <c r="E155" s="191" t="s">
        <v>56</v>
      </c>
      <c r="F155" s="128">
        <v>9</v>
      </c>
      <c r="G155" s="165">
        <v>101</v>
      </c>
      <c r="H155" s="166">
        <f t="shared" si="50"/>
        <v>1702.5353974612706</v>
      </c>
      <c r="I155" s="166">
        <f t="shared" si="48"/>
        <v>1533.3045093675044</v>
      </c>
      <c r="J155" s="167">
        <f t="shared" si="51"/>
        <v>154863.75544611795</v>
      </c>
      <c r="K155" s="168">
        <f t="shared" si="45"/>
        <v>171956.07514358833</v>
      </c>
      <c r="L155" s="169">
        <f t="shared" ref="L155:L165" si="58">+J155-K155</f>
        <v>-17092.319697470375</v>
      </c>
      <c r="M155" s="170">
        <f t="shared" si="52"/>
        <v>-1362.9164836898854</v>
      </c>
      <c r="N155" s="171">
        <f t="shared" si="53"/>
        <v>-18455.23618116026</v>
      </c>
      <c r="O155" s="170">
        <f t="shared" si="54"/>
        <v>0</v>
      </c>
      <c r="P155" s="170">
        <f t="shared" si="55"/>
        <v>0</v>
      </c>
      <c r="Q155" s="170">
        <v>0</v>
      </c>
      <c r="R155" s="171">
        <f t="shared" si="56"/>
        <v>-18455.23618116026</v>
      </c>
    </row>
    <row r="156" spans="1:19" x14ac:dyDescent="0.25">
      <c r="A156" s="128">
        <v>5</v>
      </c>
      <c r="B156" s="163">
        <f t="shared" si="49"/>
        <v>45413</v>
      </c>
      <c r="C156" s="183">
        <f t="shared" si="57"/>
        <v>45448</v>
      </c>
      <c r="D156" s="183">
        <f t="shared" si="57"/>
        <v>45467</v>
      </c>
      <c r="E156" s="191" t="s">
        <v>56</v>
      </c>
      <c r="F156" s="128">
        <v>9</v>
      </c>
      <c r="G156" s="165">
        <v>118</v>
      </c>
      <c r="H156" s="166">
        <f t="shared" si="50"/>
        <v>1702.5353974612706</v>
      </c>
      <c r="I156" s="166">
        <f t="shared" si="48"/>
        <v>1533.3045093675044</v>
      </c>
      <c r="J156" s="167">
        <f t="shared" si="51"/>
        <v>180929.9321053655</v>
      </c>
      <c r="K156" s="168">
        <f t="shared" si="45"/>
        <v>200899.17690042994</v>
      </c>
      <c r="L156" s="169">
        <f t="shared" si="58"/>
        <v>-19969.244795064442</v>
      </c>
      <c r="M156" s="170">
        <f t="shared" si="52"/>
        <v>-1592.3182680733312</v>
      </c>
      <c r="N156" s="171">
        <f t="shared" si="53"/>
        <v>-21561.563063137772</v>
      </c>
      <c r="O156" s="170">
        <f t="shared" si="54"/>
        <v>0</v>
      </c>
      <c r="P156" s="170">
        <f t="shared" si="55"/>
        <v>0</v>
      </c>
      <c r="Q156" s="170">
        <v>0</v>
      </c>
      <c r="R156" s="171">
        <f t="shared" si="56"/>
        <v>-21561.563063137772</v>
      </c>
    </row>
    <row r="157" spans="1:19" x14ac:dyDescent="0.25">
      <c r="A157" s="128">
        <v>6</v>
      </c>
      <c r="B157" s="163">
        <f t="shared" si="49"/>
        <v>45444</v>
      </c>
      <c r="C157" s="183">
        <f t="shared" si="57"/>
        <v>45476</v>
      </c>
      <c r="D157" s="183">
        <f t="shared" si="57"/>
        <v>45497</v>
      </c>
      <c r="E157" s="191" t="s">
        <v>56</v>
      </c>
      <c r="F157" s="128">
        <v>9</v>
      </c>
      <c r="G157" s="165">
        <v>173</v>
      </c>
      <c r="H157" s="166">
        <f t="shared" si="50"/>
        <v>1702.5353974612706</v>
      </c>
      <c r="I157" s="166">
        <f t="shared" si="48"/>
        <v>1533.3045093675044</v>
      </c>
      <c r="J157" s="167">
        <f t="shared" si="51"/>
        <v>265261.68012057827</v>
      </c>
      <c r="K157" s="168">
        <f t="shared" si="45"/>
        <v>294538.62376079982</v>
      </c>
      <c r="L157" s="173">
        <f t="shared" si="58"/>
        <v>-29276.943640221551</v>
      </c>
      <c r="M157" s="170">
        <f t="shared" si="52"/>
        <v>-2334.5005116668331</v>
      </c>
      <c r="N157" s="171">
        <f t="shared" si="53"/>
        <v>-31611.444151888383</v>
      </c>
      <c r="O157" s="170">
        <f t="shared" si="54"/>
        <v>0</v>
      </c>
      <c r="P157" s="170">
        <f t="shared" si="55"/>
        <v>0</v>
      </c>
      <c r="Q157" s="170">
        <v>0</v>
      </c>
      <c r="R157" s="171">
        <f t="shared" si="56"/>
        <v>-31611.444151888383</v>
      </c>
    </row>
    <row r="158" spans="1:19" x14ac:dyDescent="0.25">
      <c r="A158" s="94">
        <v>7</v>
      </c>
      <c r="B158" s="163">
        <f t="shared" si="49"/>
        <v>45474</v>
      </c>
      <c r="C158" s="183">
        <f t="shared" si="57"/>
        <v>45509</v>
      </c>
      <c r="D158" s="183">
        <f t="shared" si="57"/>
        <v>45530</v>
      </c>
      <c r="E158" s="191" t="s">
        <v>56</v>
      </c>
      <c r="F158" s="128">
        <v>9</v>
      </c>
      <c r="G158" s="165">
        <v>164</v>
      </c>
      <c r="H158" s="166">
        <f t="shared" si="50"/>
        <v>1702.5353974612706</v>
      </c>
      <c r="I158" s="166">
        <f t="shared" si="48"/>
        <v>1533.3045093675044</v>
      </c>
      <c r="J158" s="167">
        <f t="shared" si="51"/>
        <v>251461.93953627071</v>
      </c>
      <c r="K158" s="174">
        <f t="shared" si="45"/>
        <v>279215.80518364836</v>
      </c>
      <c r="L158" s="173">
        <f t="shared" si="58"/>
        <v>-27753.86564737765</v>
      </c>
      <c r="M158" s="170">
        <f t="shared" si="52"/>
        <v>-2213.0525081697147</v>
      </c>
      <c r="N158" s="171">
        <f t="shared" si="53"/>
        <v>-29966.918155547366</v>
      </c>
      <c r="O158" s="170">
        <f t="shared" si="54"/>
        <v>0</v>
      </c>
      <c r="P158" s="170">
        <f t="shared" si="55"/>
        <v>0</v>
      </c>
      <c r="Q158" s="170">
        <v>0</v>
      </c>
      <c r="R158" s="171">
        <f t="shared" si="56"/>
        <v>-29966.918155547366</v>
      </c>
    </row>
    <row r="159" spans="1:19" x14ac:dyDescent="0.25">
      <c r="A159" s="128">
        <v>8</v>
      </c>
      <c r="B159" s="163">
        <f t="shared" si="49"/>
        <v>45505</v>
      </c>
      <c r="C159" s="183">
        <f t="shared" si="57"/>
        <v>45539</v>
      </c>
      <c r="D159" s="183">
        <f t="shared" si="57"/>
        <v>45559</v>
      </c>
      <c r="E159" s="191" t="s">
        <v>56</v>
      </c>
      <c r="F159" s="94">
        <v>9</v>
      </c>
      <c r="G159" s="165">
        <v>170</v>
      </c>
      <c r="H159" s="166">
        <f t="shared" si="50"/>
        <v>1702.5353974612706</v>
      </c>
      <c r="I159" s="166">
        <f t="shared" si="48"/>
        <v>1533.3045093675044</v>
      </c>
      <c r="J159" s="167">
        <f t="shared" si="51"/>
        <v>260661.76659247573</v>
      </c>
      <c r="K159" s="174">
        <f t="shared" si="45"/>
        <v>289431.01756841602</v>
      </c>
      <c r="L159" s="173">
        <f t="shared" si="58"/>
        <v>-28769.250975940289</v>
      </c>
      <c r="M159" s="170">
        <f t="shared" si="52"/>
        <v>-2294.0178438344601</v>
      </c>
      <c r="N159" s="171">
        <f t="shared" si="53"/>
        <v>-31063.268819774748</v>
      </c>
      <c r="O159" s="170">
        <f t="shared" si="54"/>
        <v>0</v>
      </c>
      <c r="P159" s="170">
        <f t="shared" si="55"/>
        <v>0</v>
      </c>
      <c r="Q159" s="170">
        <v>0</v>
      </c>
      <c r="R159" s="171">
        <f t="shared" si="56"/>
        <v>-31063.268819774748</v>
      </c>
      <c r="S159" s="50"/>
    </row>
    <row r="160" spans="1:19" x14ac:dyDescent="0.25">
      <c r="A160" s="128">
        <v>9</v>
      </c>
      <c r="B160" s="163">
        <f t="shared" si="49"/>
        <v>45536</v>
      </c>
      <c r="C160" s="183">
        <f t="shared" si="57"/>
        <v>45568</v>
      </c>
      <c r="D160" s="183">
        <f t="shared" si="57"/>
        <v>45589</v>
      </c>
      <c r="E160" s="191" t="s">
        <v>56</v>
      </c>
      <c r="F160" s="94">
        <v>9</v>
      </c>
      <c r="G160" s="165">
        <v>156</v>
      </c>
      <c r="H160" s="166">
        <f t="shared" si="50"/>
        <v>1702.5353974612706</v>
      </c>
      <c r="I160" s="166">
        <f t="shared" si="48"/>
        <v>1533.3045093675044</v>
      </c>
      <c r="J160" s="167">
        <f t="shared" si="51"/>
        <v>239195.50346133069</v>
      </c>
      <c r="K160" s="174">
        <f t="shared" si="45"/>
        <v>265595.52200395823</v>
      </c>
      <c r="L160" s="173">
        <f t="shared" si="58"/>
        <v>-26400.018542627542</v>
      </c>
      <c r="M160" s="170">
        <f t="shared" si="52"/>
        <v>-2105.0987272833872</v>
      </c>
      <c r="N160" s="171">
        <f t="shared" si="53"/>
        <v>-28505.11726991093</v>
      </c>
      <c r="O160" s="170">
        <f t="shared" si="54"/>
        <v>0</v>
      </c>
      <c r="P160" s="170">
        <f t="shared" si="55"/>
        <v>0</v>
      </c>
      <c r="Q160" s="170">
        <v>0</v>
      </c>
      <c r="R160" s="171">
        <f t="shared" si="56"/>
        <v>-28505.11726991093</v>
      </c>
    </row>
    <row r="161" spans="1:19" x14ac:dyDescent="0.25">
      <c r="A161" s="94">
        <v>10</v>
      </c>
      <c r="B161" s="163">
        <f t="shared" si="49"/>
        <v>45566</v>
      </c>
      <c r="C161" s="183">
        <f t="shared" si="57"/>
        <v>45601</v>
      </c>
      <c r="D161" s="183">
        <f t="shared" si="57"/>
        <v>45621</v>
      </c>
      <c r="E161" s="191" t="s">
        <v>56</v>
      </c>
      <c r="F161" s="94">
        <v>9</v>
      </c>
      <c r="G161" s="165">
        <v>139</v>
      </c>
      <c r="H161" s="166">
        <f t="shared" si="50"/>
        <v>1702.5353974612706</v>
      </c>
      <c r="I161" s="166">
        <f t="shared" si="48"/>
        <v>1533.3045093675044</v>
      </c>
      <c r="J161" s="167">
        <f t="shared" si="51"/>
        <v>213129.32680208312</v>
      </c>
      <c r="K161" s="174">
        <f t="shared" si="45"/>
        <v>236652.42024711662</v>
      </c>
      <c r="L161" s="173">
        <f t="shared" si="58"/>
        <v>-23523.093445033504</v>
      </c>
      <c r="M161" s="170">
        <f t="shared" si="52"/>
        <v>-1875.6969428999412</v>
      </c>
      <c r="N161" s="171">
        <f t="shared" si="53"/>
        <v>-25398.790387933444</v>
      </c>
      <c r="O161" s="170">
        <f t="shared" si="54"/>
        <v>0</v>
      </c>
      <c r="P161" s="170">
        <f t="shared" si="55"/>
        <v>0</v>
      </c>
      <c r="Q161" s="170">
        <v>0</v>
      </c>
      <c r="R161" s="171">
        <f t="shared" si="56"/>
        <v>-25398.790387933444</v>
      </c>
    </row>
    <row r="162" spans="1:19" x14ac:dyDescent="0.25">
      <c r="A162" s="128">
        <v>11</v>
      </c>
      <c r="B162" s="163">
        <f t="shared" si="49"/>
        <v>45597</v>
      </c>
      <c r="C162" s="183">
        <f t="shared" si="57"/>
        <v>45630</v>
      </c>
      <c r="D162" s="183">
        <f t="shared" si="57"/>
        <v>45650</v>
      </c>
      <c r="E162" s="191" t="s">
        <v>56</v>
      </c>
      <c r="F162" s="94">
        <v>9</v>
      </c>
      <c r="G162" s="165">
        <v>90</v>
      </c>
      <c r="H162" s="166">
        <f t="shared" si="50"/>
        <v>1702.5353974612706</v>
      </c>
      <c r="I162" s="166">
        <f t="shared" si="48"/>
        <v>1533.3045093675044</v>
      </c>
      <c r="J162" s="167">
        <f t="shared" si="51"/>
        <v>137997.40584307539</v>
      </c>
      <c r="K162" s="174">
        <f t="shared" si="45"/>
        <v>153228.18577151434</v>
      </c>
      <c r="L162" s="173">
        <f t="shared" si="58"/>
        <v>-15230.779928438948</v>
      </c>
      <c r="M162" s="170">
        <f t="shared" si="52"/>
        <v>-1214.480034971185</v>
      </c>
      <c r="N162" s="171">
        <f t="shared" si="53"/>
        <v>-16445.259963410132</v>
      </c>
      <c r="O162" s="170">
        <f t="shared" si="54"/>
        <v>0</v>
      </c>
      <c r="P162" s="170">
        <f t="shared" si="55"/>
        <v>0</v>
      </c>
      <c r="Q162" s="170">
        <v>0</v>
      </c>
      <c r="R162" s="171">
        <f t="shared" si="56"/>
        <v>-16445.259963410132</v>
      </c>
    </row>
    <row r="163" spans="1:19" s="187" customFormat="1" x14ac:dyDescent="0.25">
      <c r="A163" s="128">
        <v>12</v>
      </c>
      <c r="B163" s="185">
        <f t="shared" si="49"/>
        <v>45627</v>
      </c>
      <c r="C163" s="183">
        <f t="shared" si="57"/>
        <v>45660</v>
      </c>
      <c r="D163" s="183">
        <f t="shared" si="57"/>
        <v>45681</v>
      </c>
      <c r="E163" s="192" t="s">
        <v>56</v>
      </c>
      <c r="F163" s="139">
        <v>9</v>
      </c>
      <c r="G163" s="165">
        <v>110</v>
      </c>
      <c r="H163" s="175">
        <f t="shared" si="50"/>
        <v>1702.5353974612706</v>
      </c>
      <c r="I163" s="175">
        <f t="shared" si="48"/>
        <v>1533.3045093675044</v>
      </c>
      <c r="J163" s="176">
        <f t="shared" si="51"/>
        <v>168663.49603042548</v>
      </c>
      <c r="K163" s="177">
        <f t="shared" si="45"/>
        <v>187278.89372073975</v>
      </c>
      <c r="L163" s="178">
        <f t="shared" si="58"/>
        <v>-18615.397690314276</v>
      </c>
      <c r="M163" s="170">
        <f t="shared" si="52"/>
        <v>-1484.3644871870038</v>
      </c>
      <c r="N163" s="171">
        <f t="shared" si="53"/>
        <v>-20099.762177501281</v>
      </c>
      <c r="O163" s="170">
        <f t="shared" si="54"/>
        <v>0</v>
      </c>
      <c r="P163" s="170">
        <f t="shared" si="55"/>
        <v>0</v>
      </c>
      <c r="Q163" s="170">
        <v>0</v>
      </c>
      <c r="R163" s="171">
        <f t="shared" si="56"/>
        <v>-20099.762177501281</v>
      </c>
    </row>
    <row r="164" spans="1:19" x14ac:dyDescent="0.25">
      <c r="A164" s="94">
        <v>1</v>
      </c>
      <c r="B164" s="163">
        <f t="shared" si="49"/>
        <v>45292</v>
      </c>
      <c r="C164" s="180">
        <f t="shared" si="57"/>
        <v>45327</v>
      </c>
      <c r="D164" s="180">
        <f t="shared" si="57"/>
        <v>45348</v>
      </c>
      <c r="E164" s="190" t="s">
        <v>57</v>
      </c>
      <c r="F164" s="94">
        <v>9</v>
      </c>
      <c r="G164" s="165">
        <v>9</v>
      </c>
      <c r="H164" s="166">
        <f t="shared" si="50"/>
        <v>1702.5353974612706</v>
      </c>
      <c r="I164" s="166">
        <f t="shared" si="48"/>
        <v>1533.3045093675044</v>
      </c>
      <c r="J164" s="167">
        <f t="shared" si="51"/>
        <v>13799.740584307539</v>
      </c>
      <c r="K164" s="168">
        <f t="shared" si="45"/>
        <v>15322.818577151435</v>
      </c>
      <c r="L164" s="169">
        <f t="shared" si="58"/>
        <v>-1523.0779928438951</v>
      </c>
      <c r="M164" s="170">
        <f t="shared" si="52"/>
        <v>-121.44800349711849</v>
      </c>
      <c r="N164" s="171">
        <f t="shared" si="53"/>
        <v>-1644.5259963410135</v>
      </c>
      <c r="O164" s="170">
        <f t="shared" si="54"/>
        <v>0</v>
      </c>
      <c r="P164" s="170">
        <f t="shared" si="55"/>
        <v>0</v>
      </c>
      <c r="Q164" s="170">
        <v>0</v>
      </c>
      <c r="R164" s="171">
        <f t="shared" si="56"/>
        <v>-1644.5259963410135</v>
      </c>
    </row>
    <row r="165" spans="1:19" x14ac:dyDescent="0.25">
      <c r="A165" s="128">
        <v>2</v>
      </c>
      <c r="B165" s="163">
        <f t="shared" si="49"/>
        <v>45323</v>
      </c>
      <c r="C165" s="183">
        <f t="shared" si="57"/>
        <v>45356</v>
      </c>
      <c r="D165" s="183">
        <f t="shared" si="57"/>
        <v>45376</v>
      </c>
      <c r="E165" s="191" t="s">
        <v>57</v>
      </c>
      <c r="F165" s="128">
        <v>9</v>
      </c>
      <c r="G165" s="165">
        <v>8</v>
      </c>
      <c r="H165" s="166">
        <f t="shared" si="50"/>
        <v>1702.5353974612706</v>
      </c>
      <c r="I165" s="166">
        <f t="shared" si="48"/>
        <v>1533.3045093675044</v>
      </c>
      <c r="J165" s="167">
        <f t="shared" si="51"/>
        <v>12266.436074940035</v>
      </c>
      <c r="K165" s="168">
        <f t="shared" si="45"/>
        <v>13620.283179690165</v>
      </c>
      <c r="L165" s="169">
        <f t="shared" si="58"/>
        <v>-1353.8471047501298</v>
      </c>
      <c r="M165" s="170">
        <f t="shared" si="52"/>
        <v>-107.95378088632755</v>
      </c>
      <c r="N165" s="171">
        <f t="shared" si="53"/>
        <v>-1461.8008856364575</v>
      </c>
      <c r="O165" s="170">
        <f t="shared" si="54"/>
        <v>0</v>
      </c>
      <c r="P165" s="170">
        <f t="shared" si="55"/>
        <v>0</v>
      </c>
      <c r="Q165" s="170">
        <v>0</v>
      </c>
      <c r="R165" s="171">
        <f t="shared" si="56"/>
        <v>-1461.8008856364575</v>
      </c>
    </row>
    <row r="166" spans="1:19" x14ac:dyDescent="0.25">
      <c r="A166" s="128">
        <v>3</v>
      </c>
      <c r="B166" s="163">
        <f t="shared" si="49"/>
        <v>45352</v>
      </c>
      <c r="C166" s="183">
        <f t="shared" si="57"/>
        <v>45385</v>
      </c>
      <c r="D166" s="183">
        <f t="shared" si="57"/>
        <v>45406</v>
      </c>
      <c r="E166" s="191" t="s">
        <v>57</v>
      </c>
      <c r="F166" s="128">
        <v>9</v>
      </c>
      <c r="G166" s="165">
        <v>10</v>
      </c>
      <c r="H166" s="166">
        <f t="shared" si="50"/>
        <v>1702.5353974612706</v>
      </c>
      <c r="I166" s="166">
        <f t="shared" si="48"/>
        <v>1533.3045093675044</v>
      </c>
      <c r="J166" s="167">
        <f t="shared" si="51"/>
        <v>15333.045093675044</v>
      </c>
      <c r="K166" s="168">
        <f t="shared" si="45"/>
        <v>17025.353974612706</v>
      </c>
      <c r="L166" s="169">
        <f>+J166-K166</f>
        <v>-1692.3088809376623</v>
      </c>
      <c r="M166" s="170">
        <f t="shared" si="52"/>
        <v>-134.94222610790945</v>
      </c>
      <c r="N166" s="171">
        <f t="shared" si="53"/>
        <v>-1827.2511070455716</v>
      </c>
      <c r="O166" s="170">
        <f t="shared" si="54"/>
        <v>0</v>
      </c>
      <c r="P166" s="170">
        <f t="shared" si="55"/>
        <v>0</v>
      </c>
      <c r="Q166" s="170">
        <v>0</v>
      </c>
      <c r="R166" s="171">
        <f t="shared" si="56"/>
        <v>-1827.2511070455716</v>
      </c>
    </row>
    <row r="167" spans="1:19" x14ac:dyDescent="0.25">
      <c r="A167" s="94">
        <v>4</v>
      </c>
      <c r="B167" s="163">
        <f t="shared" si="49"/>
        <v>45383</v>
      </c>
      <c r="C167" s="183">
        <f t="shared" si="57"/>
        <v>45415</v>
      </c>
      <c r="D167" s="183">
        <f t="shared" si="57"/>
        <v>45436</v>
      </c>
      <c r="E167" s="191" t="s">
        <v>57</v>
      </c>
      <c r="F167" s="128">
        <v>9</v>
      </c>
      <c r="G167" s="165">
        <v>7</v>
      </c>
      <c r="H167" s="166">
        <f t="shared" si="50"/>
        <v>1702.5353974612706</v>
      </c>
      <c r="I167" s="166">
        <f t="shared" si="48"/>
        <v>1533.3045093675044</v>
      </c>
      <c r="J167" s="167">
        <f t="shared" si="51"/>
        <v>10733.13156557253</v>
      </c>
      <c r="K167" s="168">
        <f t="shared" si="45"/>
        <v>11917.747782228895</v>
      </c>
      <c r="L167" s="169">
        <f t="shared" ref="L167:L177" si="59">+J167-K167</f>
        <v>-1184.6162166563645</v>
      </c>
      <c r="M167" s="170">
        <f t="shared" si="52"/>
        <v>-94.459558275536608</v>
      </c>
      <c r="N167" s="171">
        <f t="shared" si="53"/>
        <v>-1279.0757749319012</v>
      </c>
      <c r="O167" s="170">
        <f t="shared" si="54"/>
        <v>0</v>
      </c>
      <c r="P167" s="170">
        <f t="shared" si="55"/>
        <v>0</v>
      </c>
      <c r="Q167" s="170">
        <v>0</v>
      </c>
      <c r="R167" s="171">
        <f t="shared" si="56"/>
        <v>-1279.0757749319012</v>
      </c>
    </row>
    <row r="168" spans="1:19" x14ac:dyDescent="0.25">
      <c r="A168" s="128">
        <v>5</v>
      </c>
      <c r="B168" s="163">
        <f t="shared" si="49"/>
        <v>45413</v>
      </c>
      <c r="C168" s="183">
        <f t="shared" si="57"/>
        <v>45448</v>
      </c>
      <c r="D168" s="183">
        <f t="shared" si="57"/>
        <v>45467</v>
      </c>
      <c r="E168" s="191" t="s">
        <v>57</v>
      </c>
      <c r="F168" s="128">
        <v>9</v>
      </c>
      <c r="G168" s="165">
        <v>10</v>
      </c>
      <c r="H168" s="166">
        <f t="shared" si="50"/>
        <v>1702.5353974612706</v>
      </c>
      <c r="I168" s="166">
        <f t="shared" si="48"/>
        <v>1533.3045093675044</v>
      </c>
      <c r="J168" s="167">
        <f t="shared" si="51"/>
        <v>15333.045093675044</v>
      </c>
      <c r="K168" s="168">
        <f t="shared" si="45"/>
        <v>17025.353974612706</v>
      </c>
      <c r="L168" s="169">
        <f t="shared" si="59"/>
        <v>-1692.3088809376623</v>
      </c>
      <c r="M168" s="170">
        <f t="shared" si="52"/>
        <v>-134.94222610790945</v>
      </c>
      <c r="N168" s="171">
        <f t="shared" si="53"/>
        <v>-1827.2511070455716</v>
      </c>
      <c r="O168" s="170">
        <f t="shared" si="54"/>
        <v>0</v>
      </c>
      <c r="P168" s="170">
        <f t="shared" si="55"/>
        <v>0</v>
      </c>
      <c r="Q168" s="170">
        <v>0</v>
      </c>
      <c r="R168" s="171">
        <f t="shared" si="56"/>
        <v>-1827.2511070455716</v>
      </c>
    </row>
    <row r="169" spans="1:19" x14ac:dyDescent="0.25">
      <c r="A169" s="128">
        <v>6</v>
      </c>
      <c r="B169" s="163">
        <f t="shared" si="49"/>
        <v>45444</v>
      </c>
      <c r="C169" s="183">
        <f t="shared" si="57"/>
        <v>45476</v>
      </c>
      <c r="D169" s="183">
        <f t="shared" si="57"/>
        <v>45497</v>
      </c>
      <c r="E169" s="191" t="s">
        <v>57</v>
      </c>
      <c r="F169" s="128">
        <v>9</v>
      </c>
      <c r="G169" s="165">
        <v>10</v>
      </c>
      <c r="H169" s="166">
        <f t="shared" si="50"/>
        <v>1702.5353974612706</v>
      </c>
      <c r="I169" s="166">
        <f t="shared" si="48"/>
        <v>1533.3045093675044</v>
      </c>
      <c r="J169" s="167">
        <f t="shared" si="51"/>
        <v>15333.045093675044</v>
      </c>
      <c r="K169" s="168">
        <f t="shared" si="45"/>
        <v>17025.353974612706</v>
      </c>
      <c r="L169" s="173">
        <f t="shared" si="59"/>
        <v>-1692.3088809376623</v>
      </c>
      <c r="M169" s="170">
        <f t="shared" si="52"/>
        <v>-134.94222610790945</v>
      </c>
      <c r="N169" s="171">
        <f t="shared" si="53"/>
        <v>-1827.2511070455716</v>
      </c>
      <c r="O169" s="170">
        <f t="shared" si="54"/>
        <v>0</v>
      </c>
      <c r="P169" s="170">
        <f t="shared" si="55"/>
        <v>0</v>
      </c>
      <c r="Q169" s="170">
        <v>0</v>
      </c>
      <c r="R169" s="171">
        <f t="shared" si="56"/>
        <v>-1827.2511070455716</v>
      </c>
    </row>
    <row r="170" spans="1:19" x14ac:dyDescent="0.25">
      <c r="A170" s="94">
        <v>7</v>
      </c>
      <c r="B170" s="163">
        <f t="shared" si="49"/>
        <v>45474</v>
      </c>
      <c r="C170" s="183">
        <f t="shared" si="57"/>
        <v>45509</v>
      </c>
      <c r="D170" s="183">
        <f t="shared" si="57"/>
        <v>45530</v>
      </c>
      <c r="E170" s="191" t="s">
        <v>57</v>
      </c>
      <c r="F170" s="128">
        <v>9</v>
      </c>
      <c r="G170" s="165">
        <v>12</v>
      </c>
      <c r="H170" s="166">
        <f t="shared" si="50"/>
        <v>1702.5353974612706</v>
      </c>
      <c r="I170" s="166">
        <f t="shared" si="48"/>
        <v>1533.3045093675044</v>
      </c>
      <c r="J170" s="167">
        <f t="shared" si="51"/>
        <v>18399.654112410051</v>
      </c>
      <c r="K170" s="174">
        <f t="shared" si="45"/>
        <v>20430.424769535246</v>
      </c>
      <c r="L170" s="173">
        <f t="shared" si="59"/>
        <v>-2030.7706571251947</v>
      </c>
      <c r="M170" s="170">
        <f t="shared" si="52"/>
        <v>-161.9306713294913</v>
      </c>
      <c r="N170" s="171">
        <f t="shared" si="53"/>
        <v>-2192.7013284546861</v>
      </c>
      <c r="O170" s="170">
        <f t="shared" si="54"/>
        <v>0</v>
      </c>
      <c r="P170" s="170">
        <f t="shared" si="55"/>
        <v>0</v>
      </c>
      <c r="Q170" s="170">
        <v>0</v>
      </c>
      <c r="R170" s="171">
        <f t="shared" si="56"/>
        <v>-2192.7013284546861</v>
      </c>
    </row>
    <row r="171" spans="1:19" x14ac:dyDescent="0.25">
      <c r="A171" s="128">
        <v>8</v>
      </c>
      <c r="B171" s="163">
        <f t="shared" si="49"/>
        <v>45505</v>
      </c>
      <c r="C171" s="183">
        <f t="shared" si="57"/>
        <v>45539</v>
      </c>
      <c r="D171" s="183">
        <f t="shared" si="57"/>
        <v>45559</v>
      </c>
      <c r="E171" s="191" t="s">
        <v>57</v>
      </c>
      <c r="F171" s="94">
        <v>9</v>
      </c>
      <c r="G171" s="165">
        <v>12</v>
      </c>
      <c r="H171" s="166">
        <f t="shared" si="50"/>
        <v>1702.5353974612706</v>
      </c>
      <c r="I171" s="166">
        <f t="shared" si="48"/>
        <v>1533.3045093675044</v>
      </c>
      <c r="J171" s="167">
        <f t="shared" si="51"/>
        <v>18399.654112410051</v>
      </c>
      <c r="K171" s="174">
        <f t="shared" si="45"/>
        <v>20430.424769535246</v>
      </c>
      <c r="L171" s="173">
        <f t="shared" si="59"/>
        <v>-2030.7706571251947</v>
      </c>
      <c r="M171" s="170">
        <f t="shared" si="52"/>
        <v>-161.9306713294913</v>
      </c>
      <c r="N171" s="171">
        <f t="shared" si="53"/>
        <v>-2192.7013284546861</v>
      </c>
      <c r="O171" s="170">
        <f t="shared" si="54"/>
        <v>0</v>
      </c>
      <c r="P171" s="170">
        <f t="shared" si="55"/>
        <v>0</v>
      </c>
      <c r="Q171" s="170">
        <v>0</v>
      </c>
      <c r="R171" s="171">
        <f t="shared" si="56"/>
        <v>-2192.7013284546861</v>
      </c>
      <c r="S171" s="50"/>
    </row>
    <row r="172" spans="1:19" x14ac:dyDescent="0.25">
      <c r="A172" s="128">
        <v>9</v>
      </c>
      <c r="B172" s="163">
        <f t="shared" si="49"/>
        <v>45536</v>
      </c>
      <c r="C172" s="183">
        <f t="shared" ref="C172:D175" si="60">+C160</f>
        <v>45568</v>
      </c>
      <c r="D172" s="183">
        <f t="shared" si="60"/>
        <v>45589</v>
      </c>
      <c r="E172" s="191" t="s">
        <v>57</v>
      </c>
      <c r="F172" s="94">
        <v>9</v>
      </c>
      <c r="G172" s="165">
        <v>11</v>
      </c>
      <c r="H172" s="166">
        <f t="shared" si="50"/>
        <v>1702.5353974612706</v>
      </c>
      <c r="I172" s="166">
        <f t="shared" si="48"/>
        <v>1533.3045093675044</v>
      </c>
      <c r="J172" s="167">
        <f t="shared" si="51"/>
        <v>16866.349603042549</v>
      </c>
      <c r="K172" s="174">
        <f t="shared" si="45"/>
        <v>18727.889372073976</v>
      </c>
      <c r="L172" s="173">
        <f t="shared" si="59"/>
        <v>-1861.5397690314276</v>
      </c>
      <c r="M172" s="170">
        <f t="shared" si="52"/>
        <v>-148.43644871870038</v>
      </c>
      <c r="N172" s="171">
        <f t="shared" si="53"/>
        <v>-2009.9762177501279</v>
      </c>
      <c r="O172" s="170">
        <f t="shared" si="54"/>
        <v>0</v>
      </c>
      <c r="P172" s="170">
        <f t="shared" si="55"/>
        <v>0</v>
      </c>
      <c r="Q172" s="170">
        <v>0</v>
      </c>
      <c r="R172" s="171">
        <f t="shared" si="56"/>
        <v>-2009.9762177501279</v>
      </c>
    </row>
    <row r="173" spans="1:19" x14ac:dyDescent="0.25">
      <c r="A173" s="94">
        <v>10</v>
      </c>
      <c r="B173" s="163">
        <f t="shared" si="49"/>
        <v>45566</v>
      </c>
      <c r="C173" s="183">
        <f t="shared" si="60"/>
        <v>45601</v>
      </c>
      <c r="D173" s="183">
        <f t="shared" si="60"/>
        <v>45621</v>
      </c>
      <c r="E173" s="191" t="s">
        <v>57</v>
      </c>
      <c r="F173" s="94">
        <v>9</v>
      </c>
      <c r="G173" s="165">
        <v>10</v>
      </c>
      <c r="H173" s="166">
        <f t="shared" si="50"/>
        <v>1702.5353974612706</v>
      </c>
      <c r="I173" s="166">
        <f t="shared" si="48"/>
        <v>1533.3045093675044</v>
      </c>
      <c r="J173" s="167">
        <f t="shared" si="51"/>
        <v>15333.045093675044</v>
      </c>
      <c r="K173" s="174">
        <f t="shared" si="45"/>
        <v>17025.353974612706</v>
      </c>
      <c r="L173" s="173">
        <f t="shared" si="59"/>
        <v>-1692.3088809376623</v>
      </c>
      <c r="M173" s="170">
        <f t="shared" si="52"/>
        <v>-134.94222610790945</v>
      </c>
      <c r="N173" s="171">
        <f t="shared" si="53"/>
        <v>-1827.2511070455716</v>
      </c>
      <c r="O173" s="170">
        <f t="shared" si="54"/>
        <v>0</v>
      </c>
      <c r="P173" s="170">
        <f t="shared" si="55"/>
        <v>0</v>
      </c>
      <c r="Q173" s="170">
        <v>0</v>
      </c>
      <c r="R173" s="171">
        <f t="shared" si="56"/>
        <v>-1827.2511070455716</v>
      </c>
    </row>
    <row r="174" spans="1:19" x14ac:dyDescent="0.25">
      <c r="A174" s="128">
        <v>11</v>
      </c>
      <c r="B174" s="163">
        <f t="shared" si="49"/>
        <v>45597</v>
      </c>
      <c r="C174" s="183">
        <f t="shared" si="60"/>
        <v>45630</v>
      </c>
      <c r="D174" s="183">
        <f t="shared" si="60"/>
        <v>45650</v>
      </c>
      <c r="E174" s="191" t="s">
        <v>57</v>
      </c>
      <c r="F174" s="94">
        <v>9</v>
      </c>
      <c r="G174" s="165">
        <v>10</v>
      </c>
      <c r="H174" s="166">
        <f t="shared" si="50"/>
        <v>1702.5353974612706</v>
      </c>
      <c r="I174" s="166">
        <f t="shared" si="48"/>
        <v>1533.3045093675044</v>
      </c>
      <c r="J174" s="167">
        <f t="shared" si="51"/>
        <v>15333.045093675044</v>
      </c>
      <c r="K174" s="174">
        <f t="shared" si="45"/>
        <v>17025.353974612706</v>
      </c>
      <c r="L174" s="173">
        <f t="shared" si="59"/>
        <v>-1692.3088809376623</v>
      </c>
      <c r="M174" s="170">
        <f t="shared" si="52"/>
        <v>-134.94222610790945</v>
      </c>
      <c r="N174" s="171">
        <f t="shared" si="53"/>
        <v>-1827.2511070455716</v>
      </c>
      <c r="O174" s="170">
        <f t="shared" si="54"/>
        <v>0</v>
      </c>
      <c r="P174" s="170">
        <f t="shared" si="55"/>
        <v>0</v>
      </c>
      <c r="Q174" s="170">
        <v>0</v>
      </c>
      <c r="R174" s="171">
        <f t="shared" si="56"/>
        <v>-1827.2511070455716</v>
      </c>
    </row>
    <row r="175" spans="1:19" s="187" customFormat="1" x14ac:dyDescent="0.25">
      <c r="A175" s="128">
        <v>12</v>
      </c>
      <c r="B175" s="185">
        <f t="shared" si="49"/>
        <v>45627</v>
      </c>
      <c r="C175" s="183">
        <f t="shared" si="60"/>
        <v>45660</v>
      </c>
      <c r="D175" s="183">
        <f t="shared" si="60"/>
        <v>45681</v>
      </c>
      <c r="E175" s="192" t="s">
        <v>57</v>
      </c>
      <c r="F175" s="139">
        <v>9</v>
      </c>
      <c r="G175" s="165">
        <v>10</v>
      </c>
      <c r="H175" s="175">
        <f t="shared" si="50"/>
        <v>1702.5353974612706</v>
      </c>
      <c r="I175" s="175">
        <f t="shared" si="48"/>
        <v>1533.3045093675044</v>
      </c>
      <c r="J175" s="176">
        <f t="shared" si="51"/>
        <v>15333.045093675044</v>
      </c>
      <c r="K175" s="177">
        <f t="shared" si="45"/>
        <v>17025.353974612706</v>
      </c>
      <c r="L175" s="178">
        <f t="shared" si="59"/>
        <v>-1692.3088809376623</v>
      </c>
      <c r="M175" s="170">
        <f t="shared" si="52"/>
        <v>-134.94222610790945</v>
      </c>
      <c r="N175" s="171">
        <f t="shared" si="53"/>
        <v>-1827.2511070455716</v>
      </c>
      <c r="O175" s="170">
        <f t="shared" si="54"/>
        <v>0</v>
      </c>
      <c r="P175" s="170">
        <f t="shared" si="55"/>
        <v>0</v>
      </c>
      <c r="Q175" s="170">
        <v>0</v>
      </c>
      <c r="R175" s="171">
        <f t="shared" si="56"/>
        <v>-1827.2511070455716</v>
      </c>
    </row>
    <row r="176" spans="1:19" x14ac:dyDescent="0.25">
      <c r="A176" s="94">
        <v>1</v>
      </c>
      <c r="B176" s="163">
        <f t="shared" si="49"/>
        <v>45292</v>
      </c>
      <c r="C176" s="180">
        <f t="shared" ref="C176:D187" si="61">+C152</f>
        <v>45327</v>
      </c>
      <c r="D176" s="180">
        <f t="shared" si="61"/>
        <v>45348</v>
      </c>
      <c r="E176" s="190" t="s">
        <v>58</v>
      </c>
      <c r="F176" s="128">
        <v>9</v>
      </c>
      <c r="G176" s="165">
        <v>26</v>
      </c>
      <c r="H176" s="166">
        <f t="shared" si="50"/>
        <v>1702.5353974612706</v>
      </c>
      <c r="I176" s="166">
        <f t="shared" si="48"/>
        <v>1533.3045093675044</v>
      </c>
      <c r="J176" s="167">
        <f t="shared" si="51"/>
        <v>39865.917243555115</v>
      </c>
      <c r="K176" s="168">
        <f t="shared" si="45"/>
        <v>44265.920333993032</v>
      </c>
      <c r="L176" s="169">
        <f t="shared" si="59"/>
        <v>-4400.0030904379164</v>
      </c>
      <c r="M176" s="170">
        <f t="shared" si="52"/>
        <v>-350.84978788056452</v>
      </c>
      <c r="N176" s="171">
        <f t="shared" si="53"/>
        <v>-4750.8528783184811</v>
      </c>
      <c r="O176" s="170">
        <f t="shared" si="54"/>
        <v>0</v>
      </c>
      <c r="P176" s="170">
        <f t="shared" si="55"/>
        <v>0</v>
      </c>
      <c r="Q176" s="170">
        <v>0</v>
      </c>
      <c r="R176" s="171">
        <f t="shared" si="56"/>
        <v>-4750.8528783184811</v>
      </c>
    </row>
    <row r="177" spans="1:18" x14ac:dyDescent="0.25">
      <c r="A177" s="128">
        <v>2</v>
      </c>
      <c r="B177" s="163">
        <f t="shared" si="49"/>
        <v>45323</v>
      </c>
      <c r="C177" s="183">
        <f t="shared" si="61"/>
        <v>45356</v>
      </c>
      <c r="D177" s="183">
        <f t="shared" si="61"/>
        <v>45376</v>
      </c>
      <c r="E177" s="52" t="s">
        <v>58</v>
      </c>
      <c r="F177" s="128">
        <v>9</v>
      </c>
      <c r="G177" s="165">
        <v>19</v>
      </c>
      <c r="H177" s="166">
        <f t="shared" si="50"/>
        <v>1702.5353974612706</v>
      </c>
      <c r="I177" s="166">
        <f t="shared" si="48"/>
        <v>1533.3045093675044</v>
      </c>
      <c r="J177" s="167">
        <f t="shared" si="51"/>
        <v>29132.785677982582</v>
      </c>
      <c r="K177" s="168">
        <f t="shared" si="45"/>
        <v>32348.172551764143</v>
      </c>
      <c r="L177" s="169">
        <f t="shared" si="59"/>
        <v>-3215.386873781561</v>
      </c>
      <c r="M177" s="170">
        <f t="shared" si="52"/>
        <v>-256.39022960502791</v>
      </c>
      <c r="N177" s="171">
        <f t="shared" si="53"/>
        <v>-3471.7771033865888</v>
      </c>
      <c r="O177" s="170">
        <f t="shared" si="54"/>
        <v>0</v>
      </c>
      <c r="P177" s="170">
        <f t="shared" si="55"/>
        <v>0</v>
      </c>
      <c r="Q177" s="170">
        <v>0</v>
      </c>
      <c r="R177" s="171">
        <f t="shared" si="56"/>
        <v>-3471.7771033865888</v>
      </c>
    </row>
    <row r="178" spans="1:18" x14ac:dyDescent="0.25">
      <c r="A178" s="128">
        <v>3</v>
      </c>
      <c r="B178" s="163">
        <f t="shared" si="49"/>
        <v>45352</v>
      </c>
      <c r="C178" s="183">
        <f t="shared" si="61"/>
        <v>45385</v>
      </c>
      <c r="D178" s="183">
        <f t="shared" si="61"/>
        <v>45406</v>
      </c>
      <c r="E178" s="52" t="s">
        <v>58</v>
      </c>
      <c r="F178" s="128">
        <v>9</v>
      </c>
      <c r="G178" s="165">
        <v>18</v>
      </c>
      <c r="H178" s="166">
        <f t="shared" si="50"/>
        <v>1702.5353974612706</v>
      </c>
      <c r="I178" s="166">
        <f t="shared" si="48"/>
        <v>1533.3045093675044</v>
      </c>
      <c r="J178" s="167">
        <f t="shared" si="51"/>
        <v>27599.481168615079</v>
      </c>
      <c r="K178" s="168">
        <f t="shared" si="45"/>
        <v>30645.637154302869</v>
      </c>
      <c r="L178" s="169">
        <f>+J178-K178</f>
        <v>-3046.1559856877902</v>
      </c>
      <c r="M178" s="170">
        <f t="shared" si="52"/>
        <v>-242.89600699423698</v>
      </c>
      <c r="N178" s="171">
        <f t="shared" si="53"/>
        <v>-3289.051992682027</v>
      </c>
      <c r="O178" s="170">
        <f t="shared" si="54"/>
        <v>0</v>
      </c>
      <c r="P178" s="170">
        <f t="shared" si="55"/>
        <v>0</v>
      </c>
      <c r="Q178" s="170">
        <v>0</v>
      </c>
      <c r="R178" s="171">
        <f t="shared" si="56"/>
        <v>-3289.051992682027</v>
      </c>
    </row>
    <row r="179" spans="1:18" x14ac:dyDescent="0.25">
      <c r="A179" s="94">
        <v>4</v>
      </c>
      <c r="B179" s="163">
        <f t="shared" si="49"/>
        <v>45383</v>
      </c>
      <c r="C179" s="183">
        <f t="shared" si="61"/>
        <v>45415</v>
      </c>
      <c r="D179" s="183">
        <f t="shared" si="61"/>
        <v>45436</v>
      </c>
      <c r="E179" s="52" t="s">
        <v>58</v>
      </c>
      <c r="F179" s="128">
        <v>9</v>
      </c>
      <c r="G179" s="165">
        <v>22</v>
      </c>
      <c r="H179" s="166">
        <f t="shared" si="50"/>
        <v>1702.5353974612706</v>
      </c>
      <c r="I179" s="166">
        <f t="shared" si="48"/>
        <v>1533.3045093675044</v>
      </c>
      <c r="J179" s="167">
        <f t="shared" si="51"/>
        <v>33732.699206085097</v>
      </c>
      <c r="K179" s="168">
        <f t="shared" si="45"/>
        <v>37455.778744147952</v>
      </c>
      <c r="L179" s="169">
        <f t="shared" ref="L179:L189" si="62">+J179-K179</f>
        <v>-3723.0795380628551</v>
      </c>
      <c r="M179" s="170">
        <f t="shared" si="52"/>
        <v>-296.87289743740075</v>
      </c>
      <c r="N179" s="171">
        <f t="shared" si="53"/>
        <v>-4019.9524355002559</v>
      </c>
      <c r="O179" s="170">
        <f t="shared" si="54"/>
        <v>0</v>
      </c>
      <c r="P179" s="170">
        <f t="shared" si="55"/>
        <v>0</v>
      </c>
      <c r="Q179" s="170">
        <v>0</v>
      </c>
      <c r="R179" s="171">
        <f t="shared" si="56"/>
        <v>-4019.9524355002559</v>
      </c>
    </row>
    <row r="180" spans="1:18" x14ac:dyDescent="0.25">
      <c r="A180" s="128">
        <v>5</v>
      </c>
      <c r="B180" s="163">
        <f t="shared" si="49"/>
        <v>45413</v>
      </c>
      <c r="C180" s="183">
        <f t="shared" si="61"/>
        <v>45448</v>
      </c>
      <c r="D180" s="183">
        <f t="shared" si="61"/>
        <v>45467</v>
      </c>
      <c r="E180" s="52" t="s">
        <v>58</v>
      </c>
      <c r="F180" s="128">
        <v>9</v>
      </c>
      <c r="G180" s="165">
        <v>31</v>
      </c>
      <c r="H180" s="166">
        <f t="shared" si="50"/>
        <v>1702.5353974612706</v>
      </c>
      <c r="I180" s="166">
        <f t="shared" ref="I180:I211" si="63">$J$3</f>
        <v>1533.3045093675044</v>
      </c>
      <c r="J180" s="167">
        <f t="shared" si="51"/>
        <v>47532.439790392636</v>
      </c>
      <c r="K180" s="168">
        <f t="shared" si="45"/>
        <v>52778.597321299385</v>
      </c>
      <c r="L180" s="169">
        <f t="shared" si="62"/>
        <v>-5246.1575309067484</v>
      </c>
      <c r="M180" s="170">
        <f t="shared" si="52"/>
        <v>-418.32090093451922</v>
      </c>
      <c r="N180" s="171">
        <f t="shared" si="53"/>
        <v>-5664.4784318412676</v>
      </c>
      <c r="O180" s="170">
        <f t="shared" si="54"/>
        <v>0</v>
      </c>
      <c r="P180" s="170">
        <f t="shared" si="55"/>
        <v>0</v>
      </c>
      <c r="Q180" s="170">
        <v>0</v>
      </c>
      <c r="R180" s="171">
        <f t="shared" si="56"/>
        <v>-5664.4784318412676</v>
      </c>
    </row>
    <row r="181" spans="1:18" x14ac:dyDescent="0.25">
      <c r="A181" s="128">
        <v>6</v>
      </c>
      <c r="B181" s="163">
        <f t="shared" si="49"/>
        <v>45444</v>
      </c>
      <c r="C181" s="183">
        <f t="shared" si="61"/>
        <v>45476</v>
      </c>
      <c r="D181" s="183">
        <f t="shared" si="61"/>
        <v>45497</v>
      </c>
      <c r="E181" s="52" t="s">
        <v>58</v>
      </c>
      <c r="F181" s="128">
        <v>9</v>
      </c>
      <c r="G181" s="165">
        <v>36</v>
      </c>
      <c r="H181" s="166">
        <f t="shared" si="50"/>
        <v>1702.5353974612706</v>
      </c>
      <c r="I181" s="166">
        <f t="shared" si="63"/>
        <v>1533.3045093675044</v>
      </c>
      <c r="J181" s="167">
        <f t="shared" si="51"/>
        <v>55198.962337230158</v>
      </c>
      <c r="K181" s="168">
        <f t="shared" si="45"/>
        <v>61291.274308605738</v>
      </c>
      <c r="L181" s="173">
        <f t="shared" si="62"/>
        <v>-6092.3119713755805</v>
      </c>
      <c r="M181" s="170">
        <f t="shared" si="52"/>
        <v>-485.79201398847397</v>
      </c>
      <c r="N181" s="171">
        <f t="shared" si="53"/>
        <v>-6578.1039853640541</v>
      </c>
      <c r="O181" s="170">
        <f t="shared" si="54"/>
        <v>0</v>
      </c>
      <c r="P181" s="170">
        <f t="shared" si="55"/>
        <v>0</v>
      </c>
      <c r="Q181" s="170">
        <v>0</v>
      </c>
      <c r="R181" s="171">
        <f t="shared" si="56"/>
        <v>-6578.1039853640541</v>
      </c>
    </row>
    <row r="182" spans="1:18" x14ac:dyDescent="0.25">
      <c r="A182" s="94">
        <v>7</v>
      </c>
      <c r="B182" s="163">
        <f t="shared" si="49"/>
        <v>45474</v>
      </c>
      <c r="C182" s="183">
        <f t="shared" si="61"/>
        <v>45509</v>
      </c>
      <c r="D182" s="183">
        <f t="shared" si="61"/>
        <v>45530</v>
      </c>
      <c r="E182" s="52" t="s">
        <v>58</v>
      </c>
      <c r="F182" s="128">
        <v>9</v>
      </c>
      <c r="G182" s="165">
        <v>38</v>
      </c>
      <c r="H182" s="166">
        <f t="shared" si="50"/>
        <v>1702.5353974612706</v>
      </c>
      <c r="I182" s="166">
        <f t="shared" si="63"/>
        <v>1533.3045093675044</v>
      </c>
      <c r="J182" s="167">
        <f t="shared" si="51"/>
        <v>58265.571355965163</v>
      </c>
      <c r="K182" s="174">
        <f t="shared" si="45"/>
        <v>64696.345103528285</v>
      </c>
      <c r="L182" s="173">
        <f t="shared" si="62"/>
        <v>-6430.773747563122</v>
      </c>
      <c r="M182" s="170">
        <f t="shared" si="52"/>
        <v>-512.78045921005582</v>
      </c>
      <c r="N182" s="171">
        <f t="shared" si="53"/>
        <v>-6943.5542067731776</v>
      </c>
      <c r="O182" s="170">
        <f t="shared" si="54"/>
        <v>0</v>
      </c>
      <c r="P182" s="170">
        <f t="shared" si="55"/>
        <v>0</v>
      </c>
      <c r="Q182" s="170">
        <v>0</v>
      </c>
      <c r="R182" s="171">
        <f t="shared" si="56"/>
        <v>-6943.5542067731776</v>
      </c>
    </row>
    <row r="183" spans="1:18" x14ac:dyDescent="0.25">
      <c r="A183" s="128">
        <v>8</v>
      </c>
      <c r="B183" s="163">
        <f t="shared" si="49"/>
        <v>45505</v>
      </c>
      <c r="C183" s="183">
        <f t="shared" si="61"/>
        <v>45539</v>
      </c>
      <c r="D183" s="183">
        <f t="shared" si="61"/>
        <v>45559</v>
      </c>
      <c r="E183" s="52" t="s">
        <v>58</v>
      </c>
      <c r="F183" s="128">
        <v>9</v>
      </c>
      <c r="G183" s="165">
        <v>41</v>
      </c>
      <c r="H183" s="166">
        <f t="shared" si="50"/>
        <v>1702.5353974612706</v>
      </c>
      <c r="I183" s="166">
        <f t="shared" si="63"/>
        <v>1533.3045093675044</v>
      </c>
      <c r="J183" s="167">
        <f t="shared" si="51"/>
        <v>62865.484884067679</v>
      </c>
      <c r="K183" s="174">
        <f t="shared" si="45"/>
        <v>69803.951295912091</v>
      </c>
      <c r="L183" s="173">
        <f t="shared" si="62"/>
        <v>-6938.4664118444125</v>
      </c>
      <c r="M183" s="170">
        <f t="shared" si="52"/>
        <v>-553.26312704242866</v>
      </c>
      <c r="N183" s="171">
        <f t="shared" si="53"/>
        <v>-7491.7295388868415</v>
      </c>
      <c r="O183" s="170">
        <f t="shared" si="54"/>
        <v>0</v>
      </c>
      <c r="P183" s="170">
        <f t="shared" si="55"/>
        <v>0</v>
      </c>
      <c r="Q183" s="170">
        <v>0</v>
      </c>
      <c r="R183" s="171">
        <f t="shared" si="56"/>
        <v>-7491.7295388868415</v>
      </c>
    </row>
    <row r="184" spans="1:18" x14ac:dyDescent="0.25">
      <c r="A184" s="128">
        <v>9</v>
      </c>
      <c r="B184" s="163">
        <f t="shared" si="49"/>
        <v>45536</v>
      </c>
      <c r="C184" s="183">
        <f t="shared" si="61"/>
        <v>45568</v>
      </c>
      <c r="D184" s="183">
        <f t="shared" si="61"/>
        <v>45589</v>
      </c>
      <c r="E184" s="52" t="s">
        <v>58</v>
      </c>
      <c r="F184" s="128">
        <v>9</v>
      </c>
      <c r="G184" s="165">
        <v>29</v>
      </c>
      <c r="H184" s="166">
        <f t="shared" si="50"/>
        <v>1702.5353974612706</v>
      </c>
      <c r="I184" s="166">
        <f t="shared" si="63"/>
        <v>1533.3045093675044</v>
      </c>
      <c r="J184" s="167">
        <f t="shared" si="51"/>
        <v>44465.830771657624</v>
      </c>
      <c r="K184" s="174">
        <f t="shared" si="45"/>
        <v>49373.526526376845</v>
      </c>
      <c r="L184" s="173">
        <f t="shared" si="62"/>
        <v>-4907.6957547192214</v>
      </c>
      <c r="M184" s="170">
        <f t="shared" si="52"/>
        <v>-391.3324557129373</v>
      </c>
      <c r="N184" s="171">
        <f t="shared" si="53"/>
        <v>-5299.0282104321586</v>
      </c>
      <c r="O184" s="170">
        <f t="shared" si="54"/>
        <v>0</v>
      </c>
      <c r="P184" s="170">
        <f t="shared" si="55"/>
        <v>0</v>
      </c>
      <c r="Q184" s="170">
        <v>0</v>
      </c>
      <c r="R184" s="171">
        <f t="shared" si="56"/>
        <v>-5299.0282104321586</v>
      </c>
    </row>
    <row r="185" spans="1:18" x14ac:dyDescent="0.25">
      <c r="A185" s="94">
        <v>10</v>
      </c>
      <c r="B185" s="163">
        <f t="shared" si="49"/>
        <v>45566</v>
      </c>
      <c r="C185" s="183">
        <f t="shared" si="61"/>
        <v>45601</v>
      </c>
      <c r="D185" s="183">
        <f t="shared" si="61"/>
        <v>45621</v>
      </c>
      <c r="E185" s="52" t="s">
        <v>58</v>
      </c>
      <c r="F185" s="128">
        <v>9</v>
      </c>
      <c r="G185" s="165">
        <v>26</v>
      </c>
      <c r="H185" s="166">
        <f t="shared" si="50"/>
        <v>1702.5353974612706</v>
      </c>
      <c r="I185" s="166">
        <f t="shared" si="63"/>
        <v>1533.3045093675044</v>
      </c>
      <c r="J185" s="167">
        <f t="shared" si="51"/>
        <v>39865.917243555115</v>
      </c>
      <c r="K185" s="174">
        <f t="shared" si="45"/>
        <v>44265.920333993032</v>
      </c>
      <c r="L185" s="173">
        <f t="shared" si="62"/>
        <v>-4400.0030904379164</v>
      </c>
      <c r="M185" s="170">
        <f t="shared" si="52"/>
        <v>-350.84978788056452</v>
      </c>
      <c r="N185" s="171">
        <f t="shared" si="53"/>
        <v>-4750.8528783184811</v>
      </c>
      <c r="O185" s="170">
        <f t="shared" si="54"/>
        <v>0</v>
      </c>
      <c r="P185" s="170">
        <f t="shared" si="55"/>
        <v>0</v>
      </c>
      <c r="Q185" s="170">
        <v>0</v>
      </c>
      <c r="R185" s="171">
        <f t="shared" si="56"/>
        <v>-4750.8528783184811</v>
      </c>
    </row>
    <row r="186" spans="1:18" x14ac:dyDescent="0.25">
      <c r="A186" s="128">
        <v>11</v>
      </c>
      <c r="B186" s="163">
        <f t="shared" si="49"/>
        <v>45597</v>
      </c>
      <c r="C186" s="183">
        <f t="shared" si="61"/>
        <v>45630</v>
      </c>
      <c r="D186" s="183">
        <f t="shared" si="61"/>
        <v>45650</v>
      </c>
      <c r="E186" s="52" t="s">
        <v>58</v>
      </c>
      <c r="F186" s="128">
        <v>9</v>
      </c>
      <c r="G186" s="165">
        <v>22</v>
      </c>
      <c r="H186" s="166">
        <f t="shared" si="50"/>
        <v>1702.5353974612706</v>
      </c>
      <c r="I186" s="166">
        <f t="shared" si="63"/>
        <v>1533.3045093675044</v>
      </c>
      <c r="J186" s="167">
        <f t="shared" si="51"/>
        <v>33732.699206085097</v>
      </c>
      <c r="K186" s="174">
        <f t="shared" si="45"/>
        <v>37455.778744147952</v>
      </c>
      <c r="L186" s="173">
        <f t="shared" si="62"/>
        <v>-3723.0795380628551</v>
      </c>
      <c r="M186" s="170">
        <f t="shared" si="52"/>
        <v>-296.87289743740075</v>
      </c>
      <c r="N186" s="171">
        <f t="shared" si="53"/>
        <v>-4019.9524355002559</v>
      </c>
      <c r="O186" s="170">
        <f t="shared" si="54"/>
        <v>0</v>
      </c>
      <c r="P186" s="170">
        <f t="shared" si="55"/>
        <v>0</v>
      </c>
      <c r="Q186" s="170">
        <v>0</v>
      </c>
      <c r="R186" s="171">
        <f t="shared" si="56"/>
        <v>-4019.9524355002559</v>
      </c>
    </row>
    <row r="187" spans="1:18" s="187" customFormat="1" x14ac:dyDescent="0.25">
      <c r="A187" s="128">
        <v>12</v>
      </c>
      <c r="B187" s="185">
        <f t="shared" si="49"/>
        <v>45627</v>
      </c>
      <c r="C187" s="183">
        <f t="shared" si="61"/>
        <v>45660</v>
      </c>
      <c r="D187" s="183">
        <f t="shared" si="61"/>
        <v>45681</v>
      </c>
      <c r="E187" s="186" t="s">
        <v>58</v>
      </c>
      <c r="F187" s="139">
        <v>9</v>
      </c>
      <c r="G187" s="165">
        <v>18</v>
      </c>
      <c r="H187" s="175">
        <f t="shared" si="50"/>
        <v>1702.5353974612706</v>
      </c>
      <c r="I187" s="175">
        <f t="shared" si="63"/>
        <v>1533.3045093675044</v>
      </c>
      <c r="J187" s="176">
        <f t="shared" si="51"/>
        <v>27599.481168615079</v>
      </c>
      <c r="K187" s="177">
        <f t="shared" si="45"/>
        <v>30645.637154302869</v>
      </c>
      <c r="L187" s="178">
        <f t="shared" si="62"/>
        <v>-3046.1559856877902</v>
      </c>
      <c r="M187" s="170">
        <f t="shared" si="52"/>
        <v>-242.89600699423698</v>
      </c>
      <c r="N187" s="171">
        <f t="shared" si="53"/>
        <v>-3289.051992682027</v>
      </c>
      <c r="O187" s="170">
        <f t="shared" si="54"/>
        <v>0</v>
      </c>
      <c r="P187" s="170">
        <f t="shared" si="55"/>
        <v>0</v>
      </c>
      <c r="Q187" s="170">
        <v>0</v>
      </c>
      <c r="R187" s="171">
        <f t="shared" si="56"/>
        <v>-3289.051992682027</v>
      </c>
    </row>
    <row r="188" spans="1:18" x14ac:dyDescent="0.25">
      <c r="A188" s="94">
        <v>1</v>
      </c>
      <c r="B188" s="163">
        <f t="shared" si="49"/>
        <v>45292</v>
      </c>
      <c r="C188" s="180">
        <f t="shared" ref="C188:D211" si="64">+C176</f>
        <v>45327</v>
      </c>
      <c r="D188" s="180">
        <f t="shared" si="64"/>
        <v>45348</v>
      </c>
      <c r="E188" s="164" t="s">
        <v>59</v>
      </c>
      <c r="F188" s="94">
        <v>9</v>
      </c>
      <c r="G188" s="165">
        <v>34</v>
      </c>
      <c r="H188" s="166">
        <f t="shared" si="50"/>
        <v>1702.5353974612706</v>
      </c>
      <c r="I188" s="166">
        <f t="shared" si="63"/>
        <v>1533.3045093675044</v>
      </c>
      <c r="J188" s="167">
        <f t="shared" si="51"/>
        <v>52132.353318495145</v>
      </c>
      <c r="K188" s="168">
        <f t="shared" si="45"/>
        <v>57886.203513683198</v>
      </c>
      <c r="L188" s="169">
        <f t="shared" si="62"/>
        <v>-5753.8501951880535</v>
      </c>
      <c r="M188" s="170">
        <f t="shared" si="52"/>
        <v>-458.80356876689206</v>
      </c>
      <c r="N188" s="171">
        <f t="shared" si="53"/>
        <v>-6212.6537639549451</v>
      </c>
      <c r="O188" s="170">
        <f t="shared" si="54"/>
        <v>0</v>
      </c>
      <c r="P188" s="170">
        <f t="shared" si="55"/>
        <v>0</v>
      </c>
      <c r="Q188" s="170">
        <v>0</v>
      </c>
      <c r="R188" s="171">
        <f t="shared" si="56"/>
        <v>-6212.6537639549451</v>
      </c>
    </row>
    <row r="189" spans="1:18" x14ac:dyDescent="0.25">
      <c r="A189" s="128">
        <v>2</v>
      </c>
      <c r="B189" s="163">
        <f t="shared" si="49"/>
        <v>45323</v>
      </c>
      <c r="C189" s="183">
        <f t="shared" si="64"/>
        <v>45356</v>
      </c>
      <c r="D189" s="183">
        <f t="shared" si="64"/>
        <v>45376</v>
      </c>
      <c r="E189" s="172" t="s">
        <v>59</v>
      </c>
      <c r="F189" s="128">
        <v>9</v>
      </c>
      <c r="G189" s="165">
        <v>32</v>
      </c>
      <c r="H189" s="166">
        <f t="shared" si="50"/>
        <v>1702.5353974612706</v>
      </c>
      <c r="I189" s="166">
        <f t="shared" si="63"/>
        <v>1533.3045093675044</v>
      </c>
      <c r="J189" s="167">
        <f t="shared" si="51"/>
        <v>49065.744299760139</v>
      </c>
      <c r="K189" s="168">
        <f t="shared" si="45"/>
        <v>54481.132718760658</v>
      </c>
      <c r="L189" s="169">
        <f t="shared" si="62"/>
        <v>-5415.3884190005192</v>
      </c>
      <c r="M189" s="170">
        <f t="shared" si="52"/>
        <v>-431.8151235453102</v>
      </c>
      <c r="N189" s="171">
        <f t="shared" si="53"/>
        <v>-5847.2035425458298</v>
      </c>
      <c r="O189" s="170">
        <f t="shared" si="54"/>
        <v>0</v>
      </c>
      <c r="P189" s="170">
        <f t="shared" si="55"/>
        <v>0</v>
      </c>
      <c r="Q189" s="170">
        <v>0</v>
      </c>
      <c r="R189" s="171">
        <f t="shared" si="56"/>
        <v>-5847.2035425458298</v>
      </c>
    </row>
    <row r="190" spans="1:18" x14ac:dyDescent="0.25">
      <c r="A190" s="128">
        <v>3</v>
      </c>
      <c r="B190" s="163">
        <f t="shared" si="49"/>
        <v>45352</v>
      </c>
      <c r="C190" s="183">
        <f t="shared" si="64"/>
        <v>45385</v>
      </c>
      <c r="D190" s="183">
        <f t="shared" si="64"/>
        <v>45406</v>
      </c>
      <c r="E190" s="172" t="s">
        <v>59</v>
      </c>
      <c r="F190" s="128">
        <v>9</v>
      </c>
      <c r="G190" s="165">
        <v>32</v>
      </c>
      <c r="H190" s="166">
        <f t="shared" si="50"/>
        <v>1702.5353974612706</v>
      </c>
      <c r="I190" s="166">
        <f t="shared" si="63"/>
        <v>1533.3045093675044</v>
      </c>
      <c r="J190" s="167">
        <f t="shared" si="51"/>
        <v>49065.744299760139</v>
      </c>
      <c r="K190" s="168">
        <f t="shared" si="45"/>
        <v>54481.132718760658</v>
      </c>
      <c r="L190" s="169">
        <f>+J190-K190</f>
        <v>-5415.3884190005192</v>
      </c>
      <c r="M190" s="170">
        <f t="shared" si="52"/>
        <v>-431.8151235453102</v>
      </c>
      <c r="N190" s="171">
        <f t="shared" si="53"/>
        <v>-5847.2035425458298</v>
      </c>
      <c r="O190" s="170">
        <f t="shared" si="54"/>
        <v>0</v>
      </c>
      <c r="P190" s="170">
        <f t="shared" si="55"/>
        <v>0</v>
      </c>
      <c r="Q190" s="170">
        <v>0</v>
      </c>
      <c r="R190" s="171">
        <f t="shared" si="56"/>
        <v>-5847.2035425458298</v>
      </c>
    </row>
    <row r="191" spans="1:18" x14ac:dyDescent="0.25">
      <c r="A191" s="94">
        <v>4</v>
      </c>
      <c r="B191" s="163">
        <f t="shared" si="49"/>
        <v>45383</v>
      </c>
      <c r="C191" s="183">
        <f t="shared" si="64"/>
        <v>45415</v>
      </c>
      <c r="D191" s="183">
        <f t="shared" si="64"/>
        <v>45436</v>
      </c>
      <c r="E191" s="52" t="s">
        <v>59</v>
      </c>
      <c r="F191" s="128">
        <v>9</v>
      </c>
      <c r="G191" s="165">
        <v>33</v>
      </c>
      <c r="H191" s="166">
        <f t="shared" si="50"/>
        <v>1702.5353974612706</v>
      </c>
      <c r="I191" s="166">
        <f t="shared" si="63"/>
        <v>1533.3045093675044</v>
      </c>
      <c r="J191" s="167">
        <f t="shared" si="51"/>
        <v>50599.048809127642</v>
      </c>
      <c r="K191" s="168">
        <f t="shared" si="45"/>
        <v>56183.668116221932</v>
      </c>
      <c r="L191" s="169">
        <f t="shared" ref="L191:L201" si="65">+J191-K191</f>
        <v>-5584.61930709429</v>
      </c>
      <c r="M191" s="170">
        <f t="shared" si="52"/>
        <v>-445.30934615610107</v>
      </c>
      <c r="N191" s="171">
        <f t="shared" si="53"/>
        <v>-6029.9286532503911</v>
      </c>
      <c r="O191" s="170">
        <f t="shared" si="54"/>
        <v>0</v>
      </c>
      <c r="P191" s="170">
        <f t="shared" si="55"/>
        <v>0</v>
      </c>
      <c r="Q191" s="170">
        <v>0</v>
      </c>
      <c r="R191" s="171">
        <f t="shared" si="56"/>
        <v>-6029.9286532503911</v>
      </c>
    </row>
    <row r="192" spans="1:18" x14ac:dyDescent="0.25">
      <c r="A192" s="128">
        <v>5</v>
      </c>
      <c r="B192" s="163">
        <f t="shared" si="49"/>
        <v>45413</v>
      </c>
      <c r="C192" s="183">
        <f t="shared" si="64"/>
        <v>45448</v>
      </c>
      <c r="D192" s="183">
        <f t="shared" si="64"/>
        <v>45467</v>
      </c>
      <c r="E192" s="52" t="s">
        <v>59</v>
      </c>
      <c r="F192" s="128">
        <v>9</v>
      </c>
      <c r="G192" s="165">
        <v>40</v>
      </c>
      <c r="H192" s="166">
        <f t="shared" si="50"/>
        <v>1702.5353974612706</v>
      </c>
      <c r="I192" s="166">
        <f t="shared" si="63"/>
        <v>1533.3045093675044</v>
      </c>
      <c r="J192" s="167">
        <f t="shared" si="51"/>
        <v>61332.180374700176</v>
      </c>
      <c r="K192" s="168">
        <f t="shared" si="45"/>
        <v>68101.415898450825</v>
      </c>
      <c r="L192" s="169">
        <f t="shared" si="65"/>
        <v>-6769.235523750649</v>
      </c>
      <c r="M192" s="170">
        <f t="shared" si="52"/>
        <v>-539.76890443163779</v>
      </c>
      <c r="N192" s="171">
        <f t="shared" si="53"/>
        <v>-7309.0044281822866</v>
      </c>
      <c r="O192" s="170">
        <f t="shared" si="54"/>
        <v>0</v>
      </c>
      <c r="P192" s="170">
        <f t="shared" si="55"/>
        <v>0</v>
      </c>
      <c r="Q192" s="170">
        <v>0</v>
      </c>
      <c r="R192" s="171">
        <f t="shared" si="56"/>
        <v>-7309.0044281822866</v>
      </c>
    </row>
    <row r="193" spans="1:18" x14ac:dyDescent="0.25">
      <c r="A193" s="128">
        <v>6</v>
      </c>
      <c r="B193" s="163">
        <f t="shared" si="49"/>
        <v>45444</v>
      </c>
      <c r="C193" s="183">
        <f t="shared" si="64"/>
        <v>45476</v>
      </c>
      <c r="D193" s="183">
        <f t="shared" si="64"/>
        <v>45497</v>
      </c>
      <c r="E193" s="52" t="s">
        <v>59</v>
      </c>
      <c r="F193" s="128">
        <v>9</v>
      </c>
      <c r="G193" s="165">
        <v>47</v>
      </c>
      <c r="H193" s="166">
        <f t="shared" si="50"/>
        <v>1702.5353974612706</v>
      </c>
      <c r="I193" s="166">
        <f t="shared" si="63"/>
        <v>1533.3045093675044</v>
      </c>
      <c r="J193" s="167">
        <f t="shared" si="51"/>
        <v>72065.311940272702</v>
      </c>
      <c r="K193" s="168">
        <f t="shared" si="45"/>
        <v>80019.163680679718</v>
      </c>
      <c r="L193" s="173">
        <f t="shared" si="65"/>
        <v>-7953.8517404070153</v>
      </c>
      <c r="M193" s="170">
        <f t="shared" si="52"/>
        <v>-634.22846270717434</v>
      </c>
      <c r="N193" s="171">
        <f t="shared" si="53"/>
        <v>-8588.0802031141902</v>
      </c>
      <c r="O193" s="170">
        <f t="shared" si="54"/>
        <v>0</v>
      </c>
      <c r="P193" s="170">
        <f t="shared" si="55"/>
        <v>0</v>
      </c>
      <c r="Q193" s="170">
        <v>0</v>
      </c>
      <c r="R193" s="171">
        <f t="shared" si="56"/>
        <v>-8588.0802031141902</v>
      </c>
    </row>
    <row r="194" spans="1:18" x14ac:dyDescent="0.25">
      <c r="A194" s="94">
        <v>7</v>
      </c>
      <c r="B194" s="163">
        <f t="shared" si="49"/>
        <v>45474</v>
      </c>
      <c r="C194" s="183">
        <f t="shared" si="64"/>
        <v>45509</v>
      </c>
      <c r="D194" s="183">
        <f t="shared" si="64"/>
        <v>45530</v>
      </c>
      <c r="E194" s="52" t="s">
        <v>59</v>
      </c>
      <c r="F194" s="128">
        <v>9</v>
      </c>
      <c r="G194" s="165">
        <v>47</v>
      </c>
      <c r="H194" s="166">
        <f t="shared" si="50"/>
        <v>1702.5353974612706</v>
      </c>
      <c r="I194" s="166">
        <f t="shared" si="63"/>
        <v>1533.3045093675044</v>
      </c>
      <c r="J194" s="167">
        <f t="shared" si="51"/>
        <v>72065.311940272702</v>
      </c>
      <c r="K194" s="174">
        <f t="shared" si="45"/>
        <v>80019.163680679718</v>
      </c>
      <c r="L194" s="173">
        <f t="shared" si="65"/>
        <v>-7953.8517404070153</v>
      </c>
      <c r="M194" s="170">
        <f t="shared" si="52"/>
        <v>-634.22846270717434</v>
      </c>
      <c r="N194" s="171">
        <f t="shared" si="53"/>
        <v>-8588.0802031141902</v>
      </c>
      <c r="O194" s="170">
        <f t="shared" si="54"/>
        <v>0</v>
      </c>
      <c r="P194" s="170">
        <f t="shared" si="55"/>
        <v>0</v>
      </c>
      <c r="Q194" s="170">
        <v>0</v>
      </c>
      <c r="R194" s="171">
        <f t="shared" si="56"/>
        <v>-8588.0802031141902</v>
      </c>
    </row>
    <row r="195" spans="1:18" x14ac:dyDescent="0.25">
      <c r="A195" s="128">
        <v>8</v>
      </c>
      <c r="B195" s="163">
        <f t="shared" si="49"/>
        <v>45505</v>
      </c>
      <c r="C195" s="183">
        <f t="shared" si="64"/>
        <v>45539</v>
      </c>
      <c r="D195" s="183">
        <f t="shared" si="64"/>
        <v>45559</v>
      </c>
      <c r="E195" s="52" t="s">
        <v>59</v>
      </c>
      <c r="F195" s="128">
        <v>9</v>
      </c>
      <c r="G195" s="165">
        <v>51</v>
      </c>
      <c r="H195" s="166">
        <f t="shared" si="50"/>
        <v>1702.5353974612706</v>
      </c>
      <c r="I195" s="166">
        <f t="shared" si="63"/>
        <v>1533.3045093675044</v>
      </c>
      <c r="J195" s="167">
        <f t="shared" si="51"/>
        <v>78198.529977742728</v>
      </c>
      <c r="K195" s="174">
        <f t="shared" si="45"/>
        <v>86829.305270524797</v>
      </c>
      <c r="L195" s="173">
        <f t="shared" si="65"/>
        <v>-8630.7752927820693</v>
      </c>
      <c r="M195" s="170">
        <f t="shared" si="52"/>
        <v>-688.20535315033806</v>
      </c>
      <c r="N195" s="171">
        <f t="shared" si="53"/>
        <v>-9318.9806459324082</v>
      </c>
      <c r="O195" s="170">
        <f t="shared" si="54"/>
        <v>0</v>
      </c>
      <c r="P195" s="170">
        <f t="shared" si="55"/>
        <v>0</v>
      </c>
      <c r="Q195" s="170">
        <v>0</v>
      </c>
      <c r="R195" s="171">
        <f t="shared" si="56"/>
        <v>-9318.9806459324082</v>
      </c>
    </row>
    <row r="196" spans="1:18" x14ac:dyDescent="0.25">
      <c r="A196" s="128">
        <v>9</v>
      </c>
      <c r="B196" s="163">
        <f t="shared" si="49"/>
        <v>45536</v>
      </c>
      <c r="C196" s="183">
        <f t="shared" si="64"/>
        <v>45568</v>
      </c>
      <c r="D196" s="183">
        <f t="shared" si="64"/>
        <v>45589</v>
      </c>
      <c r="E196" s="52" t="s">
        <v>59</v>
      </c>
      <c r="F196" s="128">
        <v>9</v>
      </c>
      <c r="G196" s="165">
        <v>43</v>
      </c>
      <c r="H196" s="166">
        <f t="shared" si="50"/>
        <v>1702.5353974612706</v>
      </c>
      <c r="I196" s="166">
        <f t="shared" si="63"/>
        <v>1533.3045093675044</v>
      </c>
      <c r="J196" s="167">
        <f t="shared" si="51"/>
        <v>65932.093902802691</v>
      </c>
      <c r="K196" s="174">
        <f t="shared" si="45"/>
        <v>73209.022090834638</v>
      </c>
      <c r="L196" s="173">
        <f t="shared" si="65"/>
        <v>-7276.9281880319468</v>
      </c>
      <c r="M196" s="170">
        <f t="shared" si="52"/>
        <v>-580.25157226401052</v>
      </c>
      <c r="N196" s="171">
        <f t="shared" si="53"/>
        <v>-7857.1797602959577</v>
      </c>
      <c r="O196" s="170">
        <f t="shared" si="54"/>
        <v>0</v>
      </c>
      <c r="P196" s="170">
        <f t="shared" si="55"/>
        <v>0</v>
      </c>
      <c r="Q196" s="170">
        <v>0</v>
      </c>
      <c r="R196" s="171">
        <f t="shared" si="56"/>
        <v>-7857.1797602959577</v>
      </c>
    </row>
    <row r="197" spans="1:18" x14ac:dyDescent="0.25">
      <c r="A197" s="94">
        <v>10</v>
      </c>
      <c r="B197" s="163">
        <f t="shared" si="49"/>
        <v>45566</v>
      </c>
      <c r="C197" s="183">
        <f t="shared" si="64"/>
        <v>45601</v>
      </c>
      <c r="D197" s="183">
        <f t="shared" si="64"/>
        <v>45621</v>
      </c>
      <c r="E197" s="52" t="s">
        <v>59</v>
      </c>
      <c r="F197" s="128">
        <v>9</v>
      </c>
      <c r="G197" s="165">
        <v>37</v>
      </c>
      <c r="H197" s="166">
        <f t="shared" si="50"/>
        <v>1702.5353974612706</v>
      </c>
      <c r="I197" s="166">
        <f t="shared" si="63"/>
        <v>1533.3045093675044</v>
      </c>
      <c r="J197" s="167">
        <f t="shared" si="51"/>
        <v>56732.26684659766</v>
      </c>
      <c r="K197" s="174">
        <f t="shared" si="45"/>
        <v>62993.809706067012</v>
      </c>
      <c r="L197" s="173">
        <f t="shared" si="65"/>
        <v>-6261.5428594693512</v>
      </c>
      <c r="M197" s="170">
        <f t="shared" si="52"/>
        <v>-499.2862365992649</v>
      </c>
      <c r="N197" s="171">
        <f t="shared" si="53"/>
        <v>-6760.8290960686163</v>
      </c>
      <c r="O197" s="170">
        <f t="shared" si="54"/>
        <v>0</v>
      </c>
      <c r="P197" s="170">
        <f t="shared" si="55"/>
        <v>0</v>
      </c>
      <c r="Q197" s="170">
        <v>0</v>
      </c>
      <c r="R197" s="171">
        <f t="shared" si="56"/>
        <v>-6760.8290960686163</v>
      </c>
    </row>
    <row r="198" spans="1:18" x14ac:dyDescent="0.25">
      <c r="A198" s="128">
        <v>11</v>
      </c>
      <c r="B198" s="163">
        <f t="shared" si="49"/>
        <v>45597</v>
      </c>
      <c r="C198" s="183">
        <f t="shared" si="64"/>
        <v>45630</v>
      </c>
      <c r="D198" s="183">
        <f t="shared" si="64"/>
        <v>45650</v>
      </c>
      <c r="E198" s="52" t="s">
        <v>59</v>
      </c>
      <c r="F198" s="128">
        <v>9</v>
      </c>
      <c r="G198" s="165">
        <v>34</v>
      </c>
      <c r="H198" s="166">
        <f t="shared" si="50"/>
        <v>1702.5353974612706</v>
      </c>
      <c r="I198" s="166">
        <f t="shared" si="63"/>
        <v>1533.3045093675044</v>
      </c>
      <c r="J198" s="167">
        <f t="shared" si="51"/>
        <v>52132.353318495145</v>
      </c>
      <c r="K198" s="174">
        <f t="shared" ref="K198:K209" si="66">+$G198*H198</f>
        <v>57886.203513683198</v>
      </c>
      <c r="L198" s="173">
        <f t="shared" si="65"/>
        <v>-5753.8501951880535</v>
      </c>
      <c r="M198" s="170">
        <f t="shared" si="52"/>
        <v>-458.80356876689206</v>
      </c>
      <c r="N198" s="171">
        <f t="shared" si="53"/>
        <v>-6212.6537639549451</v>
      </c>
      <c r="O198" s="170">
        <f t="shared" si="54"/>
        <v>0</v>
      </c>
      <c r="P198" s="170">
        <f t="shared" si="55"/>
        <v>0</v>
      </c>
      <c r="Q198" s="170">
        <v>0</v>
      </c>
      <c r="R198" s="171">
        <f t="shared" si="56"/>
        <v>-6212.6537639549451</v>
      </c>
    </row>
    <row r="199" spans="1:18" s="187" customFormat="1" x14ac:dyDescent="0.25">
      <c r="A199" s="128">
        <v>12</v>
      </c>
      <c r="B199" s="185">
        <f t="shared" si="49"/>
        <v>45627</v>
      </c>
      <c r="C199" s="183">
        <f t="shared" si="64"/>
        <v>45660</v>
      </c>
      <c r="D199" s="183">
        <f t="shared" si="64"/>
        <v>45681</v>
      </c>
      <c r="E199" s="186" t="s">
        <v>59</v>
      </c>
      <c r="F199" s="139">
        <v>9</v>
      </c>
      <c r="G199" s="165">
        <v>32</v>
      </c>
      <c r="H199" s="175">
        <f t="shared" si="50"/>
        <v>1702.5353974612706</v>
      </c>
      <c r="I199" s="175">
        <f t="shared" si="63"/>
        <v>1533.3045093675044</v>
      </c>
      <c r="J199" s="176">
        <f t="shared" si="51"/>
        <v>49065.744299760139</v>
      </c>
      <c r="K199" s="177">
        <f t="shared" si="66"/>
        <v>54481.132718760658</v>
      </c>
      <c r="L199" s="178">
        <f t="shared" si="65"/>
        <v>-5415.3884190005192</v>
      </c>
      <c r="M199" s="170">
        <f t="shared" si="52"/>
        <v>-431.8151235453102</v>
      </c>
      <c r="N199" s="171">
        <f t="shared" si="53"/>
        <v>-5847.2035425458298</v>
      </c>
      <c r="O199" s="170">
        <f t="shared" si="54"/>
        <v>0</v>
      </c>
      <c r="P199" s="170">
        <f t="shared" si="55"/>
        <v>0</v>
      </c>
      <c r="Q199" s="170">
        <v>0</v>
      </c>
      <c r="R199" s="171">
        <f t="shared" si="56"/>
        <v>-5847.2035425458298</v>
      </c>
    </row>
    <row r="200" spans="1:18" x14ac:dyDescent="0.25">
      <c r="A200" s="94">
        <v>1</v>
      </c>
      <c r="B200" s="163">
        <f t="shared" si="49"/>
        <v>45292</v>
      </c>
      <c r="C200" s="180">
        <f t="shared" si="64"/>
        <v>45327</v>
      </c>
      <c r="D200" s="180">
        <f t="shared" si="64"/>
        <v>45348</v>
      </c>
      <c r="E200" s="164" t="s">
        <v>17</v>
      </c>
      <c r="F200" s="94">
        <v>9</v>
      </c>
      <c r="G200" s="165">
        <v>104</v>
      </c>
      <c r="H200" s="166">
        <f t="shared" si="50"/>
        <v>1702.5353974612706</v>
      </c>
      <c r="I200" s="166">
        <f t="shared" si="63"/>
        <v>1533.3045093675044</v>
      </c>
      <c r="J200" s="167">
        <f t="shared" si="51"/>
        <v>159463.66897422046</v>
      </c>
      <c r="K200" s="168">
        <f t="shared" si="66"/>
        <v>177063.68133597213</v>
      </c>
      <c r="L200" s="169">
        <f t="shared" si="65"/>
        <v>-17600.012361751666</v>
      </c>
      <c r="M200" s="170">
        <f t="shared" si="52"/>
        <v>-1403.3991515222581</v>
      </c>
      <c r="N200" s="171">
        <f t="shared" si="53"/>
        <v>-19003.411513273924</v>
      </c>
      <c r="O200" s="170">
        <f t="shared" si="54"/>
        <v>0</v>
      </c>
      <c r="P200" s="170">
        <f t="shared" si="55"/>
        <v>0</v>
      </c>
      <c r="Q200" s="170">
        <v>0</v>
      </c>
      <c r="R200" s="171">
        <f t="shared" si="56"/>
        <v>-19003.411513273924</v>
      </c>
    </row>
    <row r="201" spans="1:18" x14ac:dyDescent="0.25">
      <c r="A201" s="128">
        <v>2</v>
      </c>
      <c r="B201" s="163">
        <f t="shared" si="49"/>
        <v>45323</v>
      </c>
      <c r="C201" s="183">
        <f t="shared" si="64"/>
        <v>45356</v>
      </c>
      <c r="D201" s="183">
        <f t="shared" si="64"/>
        <v>45376</v>
      </c>
      <c r="E201" s="172" t="s">
        <v>17</v>
      </c>
      <c r="F201" s="128">
        <v>9</v>
      </c>
      <c r="G201" s="165">
        <v>99</v>
      </c>
      <c r="H201" s="166">
        <f t="shared" si="50"/>
        <v>1702.5353974612706</v>
      </c>
      <c r="I201" s="166">
        <f t="shared" si="63"/>
        <v>1533.3045093675044</v>
      </c>
      <c r="J201" s="167">
        <f t="shared" si="51"/>
        <v>151797.14642738292</v>
      </c>
      <c r="K201" s="168">
        <f t="shared" si="66"/>
        <v>168551.0043486658</v>
      </c>
      <c r="L201" s="169">
        <f t="shared" si="65"/>
        <v>-16753.857921282877</v>
      </c>
      <c r="M201" s="170">
        <f t="shared" si="52"/>
        <v>-1335.9280384683034</v>
      </c>
      <c r="N201" s="171">
        <f t="shared" si="53"/>
        <v>-18089.785959751182</v>
      </c>
      <c r="O201" s="170">
        <f t="shared" si="54"/>
        <v>0</v>
      </c>
      <c r="P201" s="170">
        <f t="shared" si="55"/>
        <v>0</v>
      </c>
      <c r="Q201" s="170">
        <v>0</v>
      </c>
      <c r="R201" s="171">
        <f t="shared" si="56"/>
        <v>-18089.785959751182</v>
      </c>
    </row>
    <row r="202" spans="1:18" x14ac:dyDescent="0.25">
      <c r="A202" s="128">
        <v>3</v>
      </c>
      <c r="B202" s="163">
        <f t="shared" si="49"/>
        <v>45352</v>
      </c>
      <c r="C202" s="183">
        <f t="shared" si="64"/>
        <v>45385</v>
      </c>
      <c r="D202" s="183">
        <f t="shared" si="64"/>
        <v>45406</v>
      </c>
      <c r="E202" s="172" t="s">
        <v>17</v>
      </c>
      <c r="F202" s="128">
        <v>9</v>
      </c>
      <c r="G202" s="165">
        <v>99</v>
      </c>
      <c r="H202" s="166">
        <f t="shared" si="50"/>
        <v>1702.5353974612706</v>
      </c>
      <c r="I202" s="166">
        <f t="shared" si="63"/>
        <v>1533.3045093675044</v>
      </c>
      <c r="J202" s="167">
        <f t="shared" si="51"/>
        <v>151797.14642738292</v>
      </c>
      <c r="K202" s="168">
        <f t="shared" si="66"/>
        <v>168551.0043486658</v>
      </c>
      <c r="L202" s="169">
        <f>+J202-K202</f>
        <v>-16753.857921282877</v>
      </c>
      <c r="M202" s="170">
        <f t="shared" si="52"/>
        <v>-1335.9280384683034</v>
      </c>
      <c r="N202" s="171">
        <f t="shared" si="53"/>
        <v>-18089.785959751182</v>
      </c>
      <c r="O202" s="170">
        <f t="shared" si="54"/>
        <v>0</v>
      </c>
      <c r="P202" s="170">
        <f t="shared" si="55"/>
        <v>0</v>
      </c>
      <c r="Q202" s="170">
        <v>0</v>
      </c>
      <c r="R202" s="171">
        <f t="shared" si="56"/>
        <v>-18089.785959751182</v>
      </c>
    </row>
    <row r="203" spans="1:18" x14ac:dyDescent="0.25">
      <c r="A203" s="94">
        <v>4</v>
      </c>
      <c r="B203" s="163">
        <f t="shared" si="49"/>
        <v>45383</v>
      </c>
      <c r="C203" s="183">
        <f t="shared" si="64"/>
        <v>45415</v>
      </c>
      <c r="D203" s="183">
        <f t="shared" si="64"/>
        <v>45436</v>
      </c>
      <c r="E203" s="172" t="s">
        <v>17</v>
      </c>
      <c r="F203" s="128">
        <v>9</v>
      </c>
      <c r="G203" s="165">
        <v>99</v>
      </c>
      <c r="H203" s="166">
        <f t="shared" si="50"/>
        <v>1702.5353974612706</v>
      </c>
      <c r="I203" s="166">
        <f t="shared" si="63"/>
        <v>1533.3045093675044</v>
      </c>
      <c r="J203" s="167">
        <f t="shared" si="51"/>
        <v>151797.14642738292</v>
      </c>
      <c r="K203" s="168">
        <f t="shared" si="66"/>
        <v>168551.0043486658</v>
      </c>
      <c r="L203" s="169">
        <f t="shared" ref="L203:L211" si="67">+J203-K203</f>
        <v>-16753.857921282877</v>
      </c>
      <c r="M203" s="170">
        <f t="shared" si="52"/>
        <v>-1335.9280384683034</v>
      </c>
      <c r="N203" s="171">
        <f t="shared" si="53"/>
        <v>-18089.785959751182</v>
      </c>
      <c r="O203" s="170">
        <f t="shared" si="54"/>
        <v>0</v>
      </c>
      <c r="P203" s="170">
        <f t="shared" si="55"/>
        <v>0</v>
      </c>
      <c r="Q203" s="170">
        <v>0</v>
      </c>
      <c r="R203" s="171">
        <f t="shared" si="56"/>
        <v>-18089.785959751182</v>
      </c>
    </row>
    <row r="204" spans="1:18" x14ac:dyDescent="0.25">
      <c r="A204" s="128">
        <v>5</v>
      </c>
      <c r="B204" s="163">
        <f t="shared" si="49"/>
        <v>45413</v>
      </c>
      <c r="C204" s="183">
        <f t="shared" si="64"/>
        <v>45448</v>
      </c>
      <c r="D204" s="183">
        <f t="shared" si="64"/>
        <v>45467</v>
      </c>
      <c r="E204" s="52" t="s">
        <v>17</v>
      </c>
      <c r="F204" s="128">
        <v>9</v>
      </c>
      <c r="G204" s="165">
        <v>106</v>
      </c>
      <c r="H204" s="166">
        <f t="shared" si="50"/>
        <v>1702.5353974612706</v>
      </c>
      <c r="I204" s="166">
        <f t="shared" si="63"/>
        <v>1533.3045093675044</v>
      </c>
      <c r="J204" s="167">
        <f t="shared" si="51"/>
        <v>162530.27799295547</v>
      </c>
      <c r="K204" s="168">
        <f t="shared" si="66"/>
        <v>180468.75213089469</v>
      </c>
      <c r="L204" s="169">
        <f t="shared" si="67"/>
        <v>-17938.474137939222</v>
      </c>
      <c r="M204" s="170">
        <f t="shared" si="52"/>
        <v>-1430.38759674384</v>
      </c>
      <c r="N204" s="171">
        <f t="shared" si="53"/>
        <v>-19368.861734683062</v>
      </c>
      <c r="O204" s="170">
        <f t="shared" si="54"/>
        <v>0</v>
      </c>
      <c r="P204" s="170">
        <f t="shared" si="55"/>
        <v>0</v>
      </c>
      <c r="Q204" s="170">
        <v>0</v>
      </c>
      <c r="R204" s="171">
        <f t="shared" si="56"/>
        <v>-19368.861734683062</v>
      </c>
    </row>
    <row r="205" spans="1:18" x14ac:dyDescent="0.25">
      <c r="A205" s="128">
        <v>6</v>
      </c>
      <c r="B205" s="163">
        <f t="shared" si="49"/>
        <v>45444</v>
      </c>
      <c r="C205" s="183">
        <f t="shared" si="64"/>
        <v>45476</v>
      </c>
      <c r="D205" s="183">
        <f t="shared" si="64"/>
        <v>45497</v>
      </c>
      <c r="E205" s="52" t="s">
        <v>17</v>
      </c>
      <c r="F205" s="128">
        <v>9</v>
      </c>
      <c r="G205" s="165">
        <v>120</v>
      </c>
      <c r="H205" s="166">
        <f t="shared" si="50"/>
        <v>1702.5353974612706</v>
      </c>
      <c r="I205" s="166">
        <f t="shared" si="63"/>
        <v>1533.3045093675044</v>
      </c>
      <c r="J205" s="167">
        <f t="shared" si="51"/>
        <v>183996.54112410053</v>
      </c>
      <c r="K205" s="168">
        <f t="shared" si="66"/>
        <v>204304.24769535247</v>
      </c>
      <c r="L205" s="173">
        <f t="shared" si="67"/>
        <v>-20307.70657125194</v>
      </c>
      <c r="M205" s="170">
        <f t="shared" si="52"/>
        <v>-1619.3067132949132</v>
      </c>
      <c r="N205" s="171">
        <f t="shared" si="53"/>
        <v>-21927.013284546854</v>
      </c>
      <c r="O205" s="170">
        <f t="shared" si="54"/>
        <v>0</v>
      </c>
      <c r="P205" s="170">
        <f t="shared" si="55"/>
        <v>0</v>
      </c>
      <c r="Q205" s="170">
        <v>0</v>
      </c>
      <c r="R205" s="171">
        <f t="shared" si="56"/>
        <v>-21927.013284546854</v>
      </c>
    </row>
    <row r="206" spans="1:18" x14ac:dyDescent="0.25">
      <c r="A206" s="94">
        <v>7</v>
      </c>
      <c r="B206" s="163">
        <f t="shared" si="49"/>
        <v>45474</v>
      </c>
      <c r="C206" s="183">
        <f t="shared" si="64"/>
        <v>45509</v>
      </c>
      <c r="D206" s="183">
        <f t="shared" si="64"/>
        <v>45530</v>
      </c>
      <c r="E206" s="52" t="s">
        <v>17</v>
      </c>
      <c r="F206" s="128">
        <v>9</v>
      </c>
      <c r="G206" s="165">
        <v>117</v>
      </c>
      <c r="H206" s="166">
        <f t="shared" si="50"/>
        <v>1702.5353974612706</v>
      </c>
      <c r="I206" s="166">
        <f t="shared" si="63"/>
        <v>1533.3045093675044</v>
      </c>
      <c r="J206" s="167">
        <f t="shared" si="51"/>
        <v>179396.627595998</v>
      </c>
      <c r="K206" s="174">
        <f t="shared" si="66"/>
        <v>199196.64150296865</v>
      </c>
      <c r="L206" s="173">
        <f t="shared" si="67"/>
        <v>-19800.013906970649</v>
      </c>
      <c r="M206" s="170">
        <f t="shared" si="52"/>
        <v>-1578.8240454625404</v>
      </c>
      <c r="N206" s="171">
        <f t="shared" si="53"/>
        <v>-21378.83795243319</v>
      </c>
      <c r="O206" s="170">
        <f t="shared" si="54"/>
        <v>0</v>
      </c>
      <c r="P206" s="170">
        <f t="shared" si="55"/>
        <v>0</v>
      </c>
      <c r="Q206" s="170">
        <v>0</v>
      </c>
      <c r="R206" s="171">
        <f t="shared" si="56"/>
        <v>-21378.83795243319</v>
      </c>
    </row>
    <row r="207" spans="1:18" x14ac:dyDescent="0.25">
      <c r="A207" s="128">
        <v>8</v>
      </c>
      <c r="B207" s="163">
        <f t="shared" si="49"/>
        <v>45505</v>
      </c>
      <c r="C207" s="183">
        <f t="shared" si="64"/>
        <v>45539</v>
      </c>
      <c r="D207" s="183">
        <f t="shared" si="64"/>
        <v>45559</v>
      </c>
      <c r="E207" s="52" t="s">
        <v>17</v>
      </c>
      <c r="F207" s="128">
        <v>9</v>
      </c>
      <c r="G207" s="165">
        <v>118</v>
      </c>
      <c r="H207" s="166">
        <f t="shared" si="50"/>
        <v>1702.5353974612706</v>
      </c>
      <c r="I207" s="166">
        <f t="shared" si="63"/>
        <v>1533.3045093675044</v>
      </c>
      <c r="J207" s="167">
        <f t="shared" si="51"/>
        <v>180929.9321053655</v>
      </c>
      <c r="K207" s="174">
        <f t="shared" si="66"/>
        <v>200899.17690042994</v>
      </c>
      <c r="L207" s="173">
        <f t="shared" si="67"/>
        <v>-19969.244795064442</v>
      </c>
      <c r="M207" s="170">
        <f t="shared" si="52"/>
        <v>-1592.3182680733312</v>
      </c>
      <c r="N207" s="171">
        <f t="shared" si="53"/>
        <v>-21561.563063137772</v>
      </c>
      <c r="O207" s="170">
        <f t="shared" si="54"/>
        <v>0</v>
      </c>
      <c r="P207" s="170">
        <f t="shared" si="55"/>
        <v>0</v>
      </c>
      <c r="Q207" s="170">
        <v>0</v>
      </c>
      <c r="R207" s="171">
        <f t="shared" si="56"/>
        <v>-21561.563063137772</v>
      </c>
    </row>
    <row r="208" spans="1:18" x14ac:dyDescent="0.25">
      <c r="A208" s="128">
        <v>9</v>
      </c>
      <c r="B208" s="163">
        <f t="shared" si="49"/>
        <v>45536</v>
      </c>
      <c r="C208" s="183">
        <f t="shared" si="64"/>
        <v>45568</v>
      </c>
      <c r="D208" s="183">
        <f t="shared" si="64"/>
        <v>45589</v>
      </c>
      <c r="E208" s="52" t="s">
        <v>17</v>
      </c>
      <c r="F208" s="128">
        <v>9</v>
      </c>
      <c r="G208" s="165">
        <v>117</v>
      </c>
      <c r="H208" s="166">
        <f t="shared" si="50"/>
        <v>1702.5353974612706</v>
      </c>
      <c r="I208" s="166">
        <f t="shared" si="63"/>
        <v>1533.3045093675044</v>
      </c>
      <c r="J208" s="167">
        <f t="shared" si="51"/>
        <v>179396.627595998</v>
      </c>
      <c r="K208" s="174">
        <f t="shared" si="66"/>
        <v>199196.64150296865</v>
      </c>
      <c r="L208" s="173">
        <f t="shared" si="67"/>
        <v>-19800.013906970649</v>
      </c>
      <c r="M208" s="170">
        <f t="shared" si="52"/>
        <v>-1578.8240454625404</v>
      </c>
      <c r="N208" s="171">
        <f t="shared" si="53"/>
        <v>-21378.83795243319</v>
      </c>
      <c r="O208" s="170">
        <f t="shared" si="54"/>
        <v>0</v>
      </c>
      <c r="P208" s="170">
        <f t="shared" si="55"/>
        <v>0</v>
      </c>
      <c r="Q208" s="170">
        <v>0</v>
      </c>
      <c r="R208" s="171">
        <f t="shared" si="56"/>
        <v>-21378.83795243319</v>
      </c>
    </row>
    <row r="209" spans="1:18" x14ac:dyDescent="0.25">
      <c r="A209" s="94">
        <v>10</v>
      </c>
      <c r="B209" s="163">
        <f t="shared" si="49"/>
        <v>45566</v>
      </c>
      <c r="C209" s="183">
        <f t="shared" si="64"/>
        <v>45601</v>
      </c>
      <c r="D209" s="183">
        <f t="shared" si="64"/>
        <v>45621</v>
      </c>
      <c r="E209" s="52" t="s">
        <v>17</v>
      </c>
      <c r="F209" s="128">
        <v>9</v>
      </c>
      <c r="G209" s="165">
        <v>107</v>
      </c>
      <c r="H209" s="166">
        <f t="shared" si="50"/>
        <v>1702.5353974612706</v>
      </c>
      <c r="I209" s="166">
        <f t="shared" si="63"/>
        <v>1533.3045093675044</v>
      </c>
      <c r="J209" s="167">
        <f t="shared" si="51"/>
        <v>164063.58250232297</v>
      </c>
      <c r="K209" s="174">
        <f t="shared" si="66"/>
        <v>182171.28752835596</v>
      </c>
      <c r="L209" s="173">
        <f t="shared" si="67"/>
        <v>-18107.705026032985</v>
      </c>
      <c r="M209" s="170">
        <f t="shared" si="52"/>
        <v>-1443.8818193546308</v>
      </c>
      <c r="N209" s="171">
        <f t="shared" si="53"/>
        <v>-19551.586845387617</v>
      </c>
      <c r="O209" s="170">
        <f t="shared" si="54"/>
        <v>0</v>
      </c>
      <c r="P209" s="170">
        <f t="shared" si="55"/>
        <v>0</v>
      </c>
      <c r="Q209" s="170">
        <v>0</v>
      </c>
      <c r="R209" s="171">
        <f t="shared" si="56"/>
        <v>-19551.586845387617</v>
      </c>
    </row>
    <row r="210" spans="1:18" x14ac:dyDescent="0.25">
      <c r="A210" s="128">
        <v>11</v>
      </c>
      <c r="B210" s="163">
        <f t="shared" si="49"/>
        <v>45597</v>
      </c>
      <c r="C210" s="183">
        <f t="shared" si="64"/>
        <v>45630</v>
      </c>
      <c r="D210" s="183">
        <f t="shared" si="64"/>
        <v>45650</v>
      </c>
      <c r="E210" s="52" t="s">
        <v>17</v>
      </c>
      <c r="F210" s="128">
        <v>9</v>
      </c>
      <c r="G210" s="165">
        <v>91</v>
      </c>
      <c r="H210" s="166">
        <f t="shared" si="50"/>
        <v>1702.5353974612706</v>
      </c>
      <c r="I210" s="166">
        <f t="shared" si="63"/>
        <v>1533.3045093675044</v>
      </c>
      <c r="J210" s="167">
        <f t="shared" si="51"/>
        <v>139530.7103524429</v>
      </c>
      <c r="K210" s="174">
        <f>+$G210*H210</f>
        <v>154930.72116897564</v>
      </c>
      <c r="L210" s="173">
        <f t="shared" si="67"/>
        <v>-15400.01081653274</v>
      </c>
      <c r="M210" s="170">
        <f t="shared" si="52"/>
        <v>-1227.974257581976</v>
      </c>
      <c r="N210" s="171">
        <f t="shared" si="53"/>
        <v>-16627.985074114717</v>
      </c>
      <c r="O210" s="170">
        <f t="shared" si="54"/>
        <v>0</v>
      </c>
      <c r="P210" s="170">
        <f t="shared" si="55"/>
        <v>0</v>
      </c>
      <c r="Q210" s="170">
        <v>0</v>
      </c>
      <c r="R210" s="171">
        <f t="shared" si="56"/>
        <v>-16627.985074114717</v>
      </c>
    </row>
    <row r="211" spans="1:18" s="187" customFormat="1" x14ac:dyDescent="0.25">
      <c r="A211" s="128">
        <v>12</v>
      </c>
      <c r="B211" s="185">
        <f t="shared" si="49"/>
        <v>45627</v>
      </c>
      <c r="C211" s="188">
        <f t="shared" si="64"/>
        <v>45660</v>
      </c>
      <c r="D211" s="188">
        <f t="shared" si="64"/>
        <v>45681</v>
      </c>
      <c r="E211" s="186" t="s">
        <v>17</v>
      </c>
      <c r="F211" s="139">
        <v>9</v>
      </c>
      <c r="G211" s="165">
        <v>102</v>
      </c>
      <c r="H211" s="175">
        <f t="shared" si="50"/>
        <v>1702.5353974612706</v>
      </c>
      <c r="I211" s="175">
        <f t="shared" si="63"/>
        <v>1533.3045093675044</v>
      </c>
      <c r="J211" s="176">
        <f t="shared" si="51"/>
        <v>156397.05995548546</v>
      </c>
      <c r="K211" s="177">
        <f>+$G211*H211</f>
        <v>173658.61054104959</v>
      </c>
      <c r="L211" s="178">
        <f t="shared" si="67"/>
        <v>-17261.550585564139</v>
      </c>
      <c r="M211" s="176">
        <f t="shared" si="52"/>
        <v>-1376.4107063006761</v>
      </c>
      <c r="N211" s="171">
        <f t="shared" si="53"/>
        <v>-18637.961291864816</v>
      </c>
      <c r="O211" s="176">
        <f t="shared" si="54"/>
        <v>0</v>
      </c>
      <c r="P211" s="193">
        <f t="shared" si="55"/>
        <v>0</v>
      </c>
      <c r="Q211" s="170">
        <v>0</v>
      </c>
      <c r="R211" s="171">
        <f t="shared" si="56"/>
        <v>-18637.961291864816</v>
      </c>
    </row>
    <row r="212" spans="1:18" x14ac:dyDescent="0.25">
      <c r="G212" s="194">
        <f>SUM(G20:G211)</f>
        <v>101851</v>
      </c>
      <c r="H212" s="49"/>
      <c r="I212" s="49"/>
      <c r="J212" s="49">
        <f>SUM(J20:J211)</f>
        <v>156168597.58358964</v>
      </c>
      <c r="K212" s="49">
        <f>SUM(K20:K211)</f>
        <v>173404932.76682767</v>
      </c>
      <c r="L212" s="49">
        <f>SUM(L20:L211)</f>
        <v>-17236335.183238182</v>
      </c>
      <c r="M212" s="49">
        <f>SUM(M20:M211)</f>
        <v>-1374400.0671316681</v>
      </c>
      <c r="N212" s="49"/>
      <c r="O212" s="49"/>
      <c r="P212" s="49">
        <f>SUM(P20:P211)</f>
        <v>0</v>
      </c>
      <c r="Q212" s="49"/>
      <c r="R212" s="195">
        <f>SUM(R20:R211)</f>
        <v>-18610735.250369869</v>
      </c>
    </row>
    <row r="213" spans="1:18" x14ac:dyDescent="0.25">
      <c r="P213" s="49"/>
      <c r="Q213" s="49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45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06342d-ce85-4729-8251-347f0ba4f840">
      <Terms xmlns="http://schemas.microsoft.com/office/infopath/2007/PartnerControls"/>
    </lcf76f155ced4ddcb4097134ff3c332f>
    <TaxCatchAll xmlns="b6888f76-1100-40b0-929b-1efe9044426d" xsi:nil="true"/>
  </documentManagement>
</p:properties>
</file>

<file path=customXml/item3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NjowNS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OToyMSBQTTwvRGF0ZVRpbWU+PExhYmVsU3RyaW5nPkFFUCBJbnRlcm5hbDwvTGFiZWxTdHJpbmc+PC9pdGVtPjwvbGFiZWxIaXN0b3J5Pg==</Value>
</WrappedLabelHistor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49C77599AAFD4B8FFD850D55630F3C" ma:contentTypeVersion="11" ma:contentTypeDescription="Create a new document." ma:contentTypeScope="" ma:versionID="ad751a9f435e1866f9f8a73a34278f13">
  <xsd:schema xmlns:xsd="http://www.w3.org/2001/XMLSchema" xmlns:xs="http://www.w3.org/2001/XMLSchema" xmlns:p="http://schemas.microsoft.com/office/2006/metadata/properties" xmlns:ns2="6a06342d-ce85-4729-8251-347f0ba4f840" xmlns:ns3="b6888f76-1100-40b0-929b-1efe9044426d" targetNamespace="http://schemas.microsoft.com/office/2006/metadata/properties" ma:root="true" ma:fieldsID="e425485e64401a05f4c6dac9240526dc" ns2:_="" ns3:_="">
    <xsd:import namespace="6a06342d-ce85-4729-8251-347f0ba4f840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6342d-ce85-4729-8251-347f0ba4f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9D8BACE4-969D-4C12-A23A-8FAE217D86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DD46F-B661-4CF0-881B-370B57EBEF5C}">
  <ds:schemaRefs>
    <ds:schemaRef ds:uri="http://schemas.microsoft.com/office/2006/metadata/properties"/>
    <ds:schemaRef ds:uri="http://schemas.microsoft.com/office/infopath/2007/PartnerControls"/>
    <ds:schemaRef ds:uri="6a06342d-ce85-4729-8251-347f0ba4f840"/>
    <ds:schemaRef ds:uri="b6888f76-1100-40b0-929b-1efe9044426d"/>
  </ds:schemaRefs>
</ds:datastoreItem>
</file>

<file path=customXml/itemProps3.xml><?xml version="1.0" encoding="utf-8"?>
<ds:datastoreItem xmlns:ds="http://schemas.openxmlformats.org/officeDocument/2006/customXml" ds:itemID="{99F2697C-8AA3-4853-90AC-D1EFBA06E9BE}">
  <ds:schemaRefs>
    <ds:schemaRef ds:uri="http://www.w3.org/2001/XMLSchema"/>
    <ds:schemaRef ds:uri="http://www.boldonjames.com/2016/02/Classifier/internal/wrappedLabelHistory"/>
  </ds:schemaRefs>
</ds:datastoreItem>
</file>

<file path=customXml/itemProps4.xml><?xml version="1.0" encoding="utf-8"?>
<ds:datastoreItem xmlns:ds="http://schemas.openxmlformats.org/officeDocument/2006/customXml" ds:itemID="{A9F01D38-AC4D-4AC2-B79A-FF12CE8D2A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06342d-ce85-4729-8251-347f0ba4f840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6C14A87-737F-4DA4-BCCB-F847CBD8DD9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20XX NOLC Refund Detail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Allyson L Keaton</cp:lastModifiedBy>
  <cp:lastPrinted>2025-05-27T14:43:43Z</cp:lastPrinted>
  <dcterms:created xsi:type="dcterms:W3CDTF">2009-09-04T18:19:13Z</dcterms:created>
  <dcterms:modified xsi:type="dcterms:W3CDTF">2025-05-27T14:45:00Z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6c50bb87-5e35-48e4-8c52-adbcd654b860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{99F2697C-8AA3-4853-90AC-D1EFBA06E9BE}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  <property fmtid="{D5CDD505-2E9C-101B-9397-08002B2CF9AE}" pid="13" name="ContentTypeId">
    <vt:lpwstr>0x0101002649C77599AAFD4B8FFD850D55630F3C</vt:lpwstr>
  </property>
  <property fmtid="{D5CDD505-2E9C-101B-9397-08002B2CF9AE}" pid="14" name="MediaServiceImageTags">
    <vt:lpwstr/>
  </property>
</Properties>
</file>