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TransCos - SPP OATT Attach H-12/Rate Year 2024/True Up (ATRR)/As Filed/"/>
    </mc:Choice>
  </mc:AlternateContent>
  <xr:revisionPtr revIDLastSave="10" documentId="8_{B44444C5-B83A-478A-89AC-F6F0C76FB791}" xr6:coauthVersionLast="47" xr6:coauthVersionMax="47" xr10:uidLastSave="{58FE1B07-ACE1-466F-AF77-AA4435E88AC5}"/>
  <bookViews>
    <workbookView xWindow="52680" yWindow="-120" windowWidth="24240" windowHeight="13020" activeTab="2" xr2:uid="{00000000-000D-0000-FFFF-FFFF00000000}"/>
  </bookViews>
  <sheets>
    <sheet name="Instructions" sheetId="33" r:id="rId1"/>
    <sheet name="20XX NOLC Refund Detail" sheetId="35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Instructions!$A$1:$Q$19</definedName>
    <definedName name="_xlnm.Print_Area" localSheetId="2">Summary!$C$1:$I$39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5" l="1"/>
  <c r="H21" i="29" s="1"/>
  <c r="C11" i="35"/>
  <c r="B13" i="35"/>
  <c r="B4" i="35"/>
  <c r="D7" i="35" l="1"/>
  <c r="H24" i="29" s="1"/>
  <c r="D10" i="35"/>
  <c r="H27" i="29" s="1"/>
  <c r="D12" i="35"/>
  <c r="H29" i="29" s="1"/>
  <c r="D20" i="35"/>
  <c r="H37" i="29" s="1"/>
  <c r="D14" i="35"/>
  <c r="H31" i="29" s="1"/>
  <c r="C5" i="35"/>
  <c r="C15" i="35"/>
  <c r="C7" i="35"/>
  <c r="E7" i="35" s="1"/>
  <c r="C16" i="35"/>
  <c r="C18" i="35"/>
  <c r="C10" i="35"/>
  <c r="C20" i="35"/>
  <c r="E20" i="35" s="1"/>
  <c r="C12" i="35"/>
  <c r="E12" i="35" s="1"/>
  <c r="D15" i="35"/>
  <c r="H32" i="29" s="1"/>
  <c r="D5" i="35"/>
  <c r="H22" i="29" s="1"/>
  <c r="C8" i="35"/>
  <c r="C13" i="35"/>
  <c r="D18" i="35"/>
  <c r="H35" i="29" s="1"/>
  <c r="D8" i="35"/>
  <c r="H25" i="29" s="1"/>
  <c r="D13" i="35"/>
  <c r="H30" i="29" s="1"/>
  <c r="E2" i="35"/>
  <c r="C6" i="35"/>
  <c r="D11" i="35"/>
  <c r="H28" i="29" s="1"/>
  <c r="D16" i="35"/>
  <c r="H33" i="29" s="1"/>
  <c r="C19" i="35"/>
  <c r="D6" i="35"/>
  <c r="H23" i="29" s="1"/>
  <c r="C9" i="35"/>
  <c r="C14" i="35"/>
  <c r="E14" i="35" s="1"/>
  <c r="D19" i="35"/>
  <c r="H36" i="29" s="1"/>
  <c r="C4" i="35"/>
  <c r="D9" i="35"/>
  <c r="H26" i="29" s="1"/>
  <c r="E11" i="35" l="1"/>
  <c r="C21" i="35"/>
  <c r="E15" i="35"/>
  <c r="E10" i="35"/>
  <c r="E6" i="35"/>
  <c r="D17" i="35"/>
  <c r="E13" i="35"/>
  <c r="E18" i="35"/>
  <c r="E8" i="35"/>
  <c r="E5" i="35"/>
  <c r="E9" i="35"/>
  <c r="E16" i="35"/>
  <c r="C17" i="35"/>
  <c r="C22" i="35" s="1"/>
  <c r="E4" i="35"/>
  <c r="E19" i="35"/>
  <c r="D21" i="35"/>
  <c r="D22" i="35" s="1"/>
  <c r="E21" i="35" l="1"/>
  <c r="E17" i="35"/>
  <c r="E22" i="35" s="1"/>
  <c r="C5" i="29" l="1"/>
  <c r="L3" i="18" l="1"/>
  <c r="H209" i="18"/>
  <c r="H23" i="18" l="1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30" i="18"/>
  <c r="H34" i="18"/>
  <c r="H38" i="18"/>
  <c r="H50" i="18"/>
  <c r="H58" i="18"/>
  <c r="H66" i="18"/>
  <c r="H78" i="18"/>
  <c r="H86" i="18"/>
  <c r="H94" i="18"/>
  <c r="H106" i="18"/>
  <c r="H114" i="18"/>
  <c r="H122" i="18"/>
  <c r="H134" i="18"/>
  <c r="H142" i="18"/>
  <c r="H150" i="18"/>
  <c r="H154" i="18"/>
  <c r="H166" i="18"/>
  <c r="H178" i="18"/>
  <c r="H186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2" i="18"/>
  <c r="H26" i="18"/>
  <c r="H42" i="18"/>
  <c r="H46" i="18"/>
  <c r="H54" i="18"/>
  <c r="H62" i="18"/>
  <c r="H70" i="18"/>
  <c r="H74" i="18"/>
  <c r="H82" i="18"/>
  <c r="H90" i="18"/>
  <c r="H98" i="18"/>
  <c r="H102" i="18"/>
  <c r="H110" i="18"/>
  <c r="H118" i="18"/>
  <c r="H126" i="18"/>
  <c r="H130" i="18"/>
  <c r="H138" i="18"/>
  <c r="H146" i="18"/>
  <c r="H158" i="18"/>
  <c r="H162" i="18"/>
  <c r="H170" i="18"/>
  <c r="H174" i="18"/>
  <c r="H182" i="18"/>
  <c r="H190" i="18"/>
  <c r="H194" i="18"/>
  <c r="H198" i="18"/>
  <c r="H202" i="18"/>
  <c r="H210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K1" i="18" l="1"/>
  <c r="O13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B31" i="18"/>
  <c r="D42" i="18"/>
  <c r="B30" i="18"/>
  <c r="D41" i="18"/>
  <c r="D65" i="18" s="1"/>
  <c r="B29" i="18"/>
  <c r="B28" i="18"/>
  <c r="C39" i="18"/>
  <c r="C51" i="18" s="1"/>
  <c r="D39" i="18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67" i="18" s="1"/>
  <c r="C79" i="18" s="1"/>
  <c r="B175" i="18"/>
  <c r="B174" i="18"/>
  <c r="B173" i="18"/>
  <c r="B172" i="18"/>
  <c r="B171" i="18"/>
  <c r="C38" i="18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C68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48" i="18"/>
  <c r="C40" i="18"/>
  <c r="C52" i="18" s="1"/>
  <c r="D35" i="18"/>
  <c r="D47" i="18" s="1"/>
  <c r="D37" i="18"/>
  <c r="D61" i="18" s="1"/>
  <c r="D40" i="18"/>
  <c r="D64" i="18" s="1"/>
  <c r="D76" i="18" s="1"/>
  <c r="D33" i="18"/>
  <c r="D45" i="18" s="1"/>
  <c r="D34" i="18"/>
  <c r="D58" i="18" s="1"/>
  <c r="G31" i="29"/>
  <c r="E37" i="29"/>
  <c r="E36" i="29"/>
  <c r="D37" i="29"/>
  <c r="G24" i="29"/>
  <c r="G37" i="29"/>
  <c r="G29" i="29"/>
  <c r="E31" i="29"/>
  <c r="G23" i="29"/>
  <c r="G33" i="29"/>
  <c r="E21" i="29"/>
  <c r="E35" i="29"/>
  <c r="G28" i="29"/>
  <c r="G22" i="29"/>
  <c r="E27" i="29"/>
  <c r="G32" i="29"/>
  <c r="E24" i="29"/>
  <c r="D30" i="29"/>
  <c r="E23" i="29"/>
  <c r="E30" i="29"/>
  <c r="G30" i="29"/>
  <c r="D29" i="29"/>
  <c r="E29" i="29"/>
  <c r="G36" i="29"/>
  <c r="G26" i="29"/>
  <c r="G35" i="29"/>
  <c r="E33" i="29"/>
  <c r="G27" i="29"/>
  <c r="G21" i="29"/>
  <c r="E32" i="29"/>
  <c r="E22" i="29"/>
  <c r="E26" i="29"/>
  <c r="G25" i="29"/>
  <c r="E25" i="29"/>
  <c r="E28" i="29"/>
  <c r="C55" i="18" l="1"/>
  <c r="C57" i="18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C58" i="18"/>
  <c r="C63" i="18"/>
  <c r="D52" i="18"/>
  <c r="C44" i="18"/>
  <c r="D56" i="18"/>
  <c r="D68" i="18" s="1"/>
  <c r="D53" i="18"/>
  <c r="D49" i="18"/>
  <c r="D59" i="18"/>
  <c r="C66" i="18"/>
  <c r="C78" i="18" s="1"/>
  <c r="C64" i="18"/>
  <c r="C88" i="18" s="1"/>
  <c r="C100" i="18" s="1"/>
  <c r="C112" i="18" s="1"/>
  <c r="C124" i="18" s="1"/>
  <c r="C136" i="18" s="1"/>
  <c r="C148" i="18" s="1"/>
  <c r="C160" i="18" s="1"/>
  <c r="C172" i="18" s="1"/>
  <c r="D60" i="18"/>
  <c r="D62" i="18"/>
  <c r="D86" i="18" s="1"/>
  <c r="D98" i="18" s="1"/>
  <c r="D110" i="18" s="1"/>
  <c r="D122" i="18" s="1"/>
  <c r="D134" i="18" s="1"/>
  <c r="D146" i="18" s="1"/>
  <c r="D158" i="18" s="1"/>
  <c r="D182" i="18" s="1"/>
  <c r="D194" i="18" s="1"/>
  <c r="D206" i="18" s="1"/>
  <c r="C61" i="18"/>
  <c r="C73" i="18" s="1"/>
  <c r="D57" i="18"/>
  <c r="D46" i="18"/>
  <c r="D85" i="18"/>
  <c r="D97" i="18" s="1"/>
  <c r="D109" i="18" s="1"/>
  <c r="D121" i="18" s="1"/>
  <c r="D133" i="18" s="1"/>
  <c r="D145" i="18" s="1"/>
  <c r="D157" i="18" s="1"/>
  <c r="D181" i="18" s="1"/>
  <c r="D193" i="18" s="1"/>
  <c r="D205" i="18" s="1"/>
  <c r="D73" i="18"/>
  <c r="D70" i="18"/>
  <c r="D82" i="18"/>
  <c r="D94" i="18" s="1"/>
  <c r="D106" i="18" s="1"/>
  <c r="D118" i="18" s="1"/>
  <c r="D130" i="18" s="1"/>
  <c r="D142" i="18" s="1"/>
  <c r="D154" i="18" s="1"/>
  <c r="D166" i="18" s="1"/>
  <c r="C72" i="18"/>
  <c r="C84" i="18"/>
  <c r="C96" i="18" s="1"/>
  <c r="C108" i="18" s="1"/>
  <c r="C120" i="18" s="1"/>
  <c r="C132" i="18" s="1"/>
  <c r="C144" i="18" s="1"/>
  <c r="C156" i="18" s="1"/>
  <c r="C168" i="18" s="1"/>
  <c r="D175" i="18"/>
  <c r="D187" i="18"/>
  <c r="D199" i="18" s="1"/>
  <c r="D211" i="18" s="1"/>
  <c r="C80" i="18"/>
  <c r="C92" i="18" s="1"/>
  <c r="C104" i="18" s="1"/>
  <c r="C116" i="18" s="1"/>
  <c r="C128" i="18" s="1"/>
  <c r="C140" i="18" s="1"/>
  <c r="C152" i="18" s="1"/>
  <c r="C176" i="18" s="1"/>
  <c r="C188" i="18" s="1"/>
  <c r="C200" i="18" s="1"/>
  <c r="D88" i="18"/>
  <c r="D100" i="18" s="1"/>
  <c r="D112" i="18" s="1"/>
  <c r="D124" i="18" s="1"/>
  <c r="D136" i="18" s="1"/>
  <c r="D148" i="18" s="1"/>
  <c r="D160" i="18" s="1"/>
  <c r="D172" i="18" s="1"/>
  <c r="D55" i="18"/>
  <c r="D79" i="18"/>
  <c r="C53" i="18"/>
  <c r="H38" i="29"/>
  <c r="F30" i="29"/>
  <c r="I30" i="29" s="1"/>
  <c r="H34" i="29"/>
  <c r="G34" i="29"/>
  <c r="G38" i="29"/>
  <c r="F29" i="29"/>
  <c r="I29" i="29" s="1"/>
  <c r="E34" i="29"/>
  <c r="F37" i="29"/>
  <c r="I37" i="29" s="1"/>
  <c r="E38" i="29"/>
  <c r="D169" i="18"/>
  <c r="C47" i="18"/>
  <c r="C59" i="18"/>
  <c r="C62" i="18"/>
  <c r="C50" i="18"/>
  <c r="E10" i="29"/>
  <c r="D20" i="29"/>
  <c r="E20" i="29"/>
  <c r="C3" i="29"/>
  <c r="F10" i="29"/>
  <c r="C89" i="18"/>
  <c r="C101" i="18" s="1"/>
  <c r="C113" i="18" s="1"/>
  <c r="C125" i="18" s="1"/>
  <c r="C137" i="18" s="1"/>
  <c r="C149" i="18" s="1"/>
  <c r="C161" i="18" s="1"/>
  <c r="C77" i="18"/>
  <c r="D54" i="18"/>
  <c r="D66" i="18"/>
  <c r="D51" i="18"/>
  <c r="D63" i="18"/>
  <c r="D77" i="18"/>
  <c r="D89" i="18"/>
  <c r="D101" i="18" s="1"/>
  <c r="D113" i="18" s="1"/>
  <c r="D125" i="18" s="1"/>
  <c r="D137" i="18" s="1"/>
  <c r="D149" i="18" s="1"/>
  <c r="D161" i="18" s="1"/>
  <c r="O14" i="18"/>
  <c r="C91" i="18"/>
  <c r="C103" i="18" s="1"/>
  <c r="C115" i="18" s="1"/>
  <c r="C127" i="18" s="1"/>
  <c r="C139" i="18" s="1"/>
  <c r="C151" i="18" s="1"/>
  <c r="C163" i="18" s="1"/>
  <c r="D25" i="29"/>
  <c r="D27" i="29"/>
  <c r="D33" i="29"/>
  <c r="D21" i="29"/>
  <c r="D32" i="29"/>
  <c r="D26" i="29"/>
  <c r="D35" i="29"/>
  <c r="D31" i="29"/>
  <c r="D22" i="29"/>
  <c r="D23" i="29"/>
  <c r="D36" i="29"/>
  <c r="D24" i="29"/>
  <c r="D28" i="29"/>
  <c r="C90" i="18" l="1"/>
  <c r="C102" i="18" s="1"/>
  <c r="C114" i="18" s="1"/>
  <c r="C126" i="18" s="1"/>
  <c r="C138" i="18" s="1"/>
  <c r="C150" i="18" s="1"/>
  <c r="C162" i="18" s="1"/>
  <c r="C165" i="18"/>
  <c r="C69" i="18"/>
  <c r="D170" i="18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80" i="18"/>
  <c r="D92" i="18" s="1"/>
  <c r="D104" i="18" s="1"/>
  <c r="D116" i="18" s="1"/>
  <c r="D128" i="18" s="1"/>
  <c r="D140" i="18" s="1"/>
  <c r="D152" i="18" s="1"/>
  <c r="D164" i="18" s="1"/>
  <c r="F32" i="29"/>
  <c r="I32" i="29" s="1"/>
  <c r="F35" i="29"/>
  <c r="I35" i="29" s="1"/>
  <c r="D38" i="29"/>
  <c r="F27" i="29"/>
  <c r="I27" i="29" s="1"/>
  <c r="F26" i="29"/>
  <c r="I26" i="29" s="1"/>
  <c r="F22" i="29"/>
  <c r="I22" i="29" s="1"/>
  <c r="F33" i="29"/>
  <c r="I33" i="29" s="1"/>
  <c r="F24" i="29"/>
  <c r="I24" i="29" s="1"/>
  <c r="F21" i="29"/>
  <c r="I21" i="29" s="1"/>
  <c r="D34" i="29"/>
  <c r="F36" i="29"/>
  <c r="I36" i="29" s="1"/>
  <c r="F25" i="29"/>
  <c r="I25" i="29" s="1"/>
  <c r="F28" i="29"/>
  <c r="I28" i="29" s="1"/>
  <c r="F23" i="29"/>
  <c r="I23" i="29" s="1"/>
  <c r="F31" i="29"/>
  <c r="I31" i="29" s="1"/>
  <c r="C70" i="18"/>
  <c r="C82" i="18"/>
  <c r="C94" i="18" s="1"/>
  <c r="C106" i="18" s="1"/>
  <c r="C118" i="18" s="1"/>
  <c r="C130" i="18" s="1"/>
  <c r="C142" i="18" s="1"/>
  <c r="C154" i="18" s="1"/>
  <c r="C75" i="18"/>
  <c r="C87" i="18"/>
  <c r="C99" i="18" s="1"/>
  <c r="C111" i="18" s="1"/>
  <c r="C123" i="18" s="1"/>
  <c r="C135" i="18" s="1"/>
  <c r="C147" i="18" s="1"/>
  <c r="C159" i="18" s="1"/>
  <c r="C184" i="18"/>
  <c r="C196" i="18" s="1"/>
  <c r="C208" i="18" s="1"/>
  <c r="C180" i="18"/>
  <c r="C192" i="18" s="1"/>
  <c r="C204" i="18" s="1"/>
  <c r="D184" i="18"/>
  <c r="D196" i="18" s="1"/>
  <c r="D208" i="18" s="1"/>
  <c r="C76" i="18"/>
  <c r="D71" i="18"/>
  <c r="D83" i="18"/>
  <c r="D95" i="18" s="1"/>
  <c r="D107" i="18" s="1"/>
  <c r="D119" i="18" s="1"/>
  <c r="D131" i="18" s="1"/>
  <c r="D143" i="18" s="1"/>
  <c r="D155" i="18" s="1"/>
  <c r="D176" i="18"/>
  <c r="D188" i="18" s="1"/>
  <c r="D200" i="18" s="1"/>
  <c r="D74" i="18"/>
  <c r="D69" i="18"/>
  <c r="D81" i="18"/>
  <c r="D93" i="18" s="1"/>
  <c r="D105" i="18" s="1"/>
  <c r="D117" i="18" s="1"/>
  <c r="D129" i="18" s="1"/>
  <c r="D141" i="18" s="1"/>
  <c r="D153" i="18" s="1"/>
  <c r="D72" i="18"/>
  <c r="D84" i="18"/>
  <c r="D96" i="18" s="1"/>
  <c r="D108" i="18" s="1"/>
  <c r="D120" i="18" s="1"/>
  <c r="D132" i="18" s="1"/>
  <c r="D144" i="18" s="1"/>
  <c r="D156" i="18" s="1"/>
  <c r="E39" i="29"/>
  <c r="G39" i="29"/>
  <c r="D178" i="18"/>
  <c r="D190" i="18" s="1"/>
  <c r="D202" i="18" s="1"/>
  <c r="C164" i="18"/>
  <c r="D87" i="18"/>
  <c r="D99" i="18" s="1"/>
  <c r="D111" i="18" s="1"/>
  <c r="D123" i="18" s="1"/>
  <c r="D135" i="18" s="1"/>
  <c r="D147" i="18" s="1"/>
  <c r="D159" i="18" s="1"/>
  <c r="D75" i="18"/>
  <c r="D173" i="18"/>
  <c r="D185" i="18"/>
  <c r="D197" i="18" s="1"/>
  <c r="D209" i="18" s="1"/>
  <c r="D78" i="18"/>
  <c r="D90" i="18"/>
  <c r="D102" i="18" s="1"/>
  <c r="D114" i="18" s="1"/>
  <c r="D126" i="18" s="1"/>
  <c r="D138" i="18" s="1"/>
  <c r="D150" i="18" s="1"/>
  <c r="D162" i="18" s="1"/>
  <c r="C86" i="18"/>
  <c r="C98" i="18" s="1"/>
  <c r="C110" i="18" s="1"/>
  <c r="C122" i="18" s="1"/>
  <c r="C134" i="18" s="1"/>
  <c r="C146" i="18" s="1"/>
  <c r="C158" i="18" s="1"/>
  <c r="C74" i="18"/>
  <c r="P14" i="18"/>
  <c r="P212" i="18"/>
  <c r="P13" i="18"/>
  <c r="C173" i="18"/>
  <c r="C185" i="18"/>
  <c r="C197" i="18" s="1"/>
  <c r="C209" i="18" s="1"/>
  <c r="C175" i="18"/>
  <c r="C187" i="18"/>
  <c r="C199" i="18" s="1"/>
  <c r="C211" i="18" s="1"/>
  <c r="C186" i="18"/>
  <c r="C198" i="18" s="1"/>
  <c r="C210" i="18" s="1"/>
  <c r="C174" i="18"/>
  <c r="C71" i="18"/>
  <c r="C83" i="18"/>
  <c r="C95" i="18" s="1"/>
  <c r="C107" i="18" s="1"/>
  <c r="C119" i="18" s="1"/>
  <c r="C131" i="18" s="1"/>
  <c r="C143" i="18" s="1"/>
  <c r="C155" i="18" s="1"/>
  <c r="H39" i="29"/>
  <c r="C169" i="18" l="1"/>
  <c r="D39" i="29"/>
  <c r="F38" i="29"/>
  <c r="C183" i="18"/>
  <c r="C195" i="18" s="1"/>
  <c r="C207" i="18" s="1"/>
  <c r="C171" i="18"/>
  <c r="F34" i="29"/>
  <c r="C166" i="18"/>
  <c r="C178" i="18"/>
  <c r="C190" i="18" s="1"/>
  <c r="C202" i="18" s="1"/>
  <c r="D167" i="18"/>
  <c r="D179" i="18"/>
  <c r="D191" i="18" s="1"/>
  <c r="D203" i="18" s="1"/>
  <c r="I38" i="29"/>
  <c r="I34" i="29"/>
  <c r="D165" i="18"/>
  <c r="D177" i="18"/>
  <c r="D189" i="18" s="1"/>
  <c r="D201" i="18" s="1"/>
  <c r="D180" i="18"/>
  <c r="D192" i="18" s="1"/>
  <c r="D204" i="18" s="1"/>
  <c r="D168" i="18"/>
  <c r="Q14" i="18"/>
  <c r="Q13" i="18"/>
  <c r="C179" i="18"/>
  <c r="C191" i="18" s="1"/>
  <c r="C203" i="18" s="1"/>
  <c r="C167" i="18"/>
  <c r="C170" i="18"/>
  <c r="C182" i="18"/>
  <c r="C194" i="18" s="1"/>
  <c r="C206" i="18" s="1"/>
  <c r="D171" i="18"/>
  <c r="D183" i="18"/>
  <c r="D195" i="18" s="1"/>
  <c r="D207" i="18" s="1"/>
  <c r="D186" i="18"/>
  <c r="D198" i="18" s="1"/>
  <c r="D210" i="18" s="1"/>
  <c r="D174" i="18"/>
  <c r="F39" i="29" l="1"/>
  <c r="I39" i="29"/>
  <c r="E11" i="29"/>
  <c r="E13" i="29" l="1"/>
  <c r="F12" i="29" l="1"/>
  <c r="I117" i="18" l="1"/>
  <c r="I49" i="18"/>
  <c r="I205" i="18"/>
  <c r="I46" i="18"/>
  <c r="I108" i="18"/>
  <c r="I201" i="18"/>
  <c r="I26" i="18"/>
  <c r="I179" i="18"/>
  <c r="I177" i="18"/>
  <c r="I89" i="18"/>
  <c r="I168" i="18"/>
  <c r="I45" i="18"/>
  <c r="I158" i="18"/>
  <c r="I136" i="18"/>
  <c r="I186" i="18"/>
  <c r="I138" i="18"/>
  <c r="I120" i="18"/>
  <c r="I190" i="18"/>
  <c r="I194" i="18"/>
  <c r="I133" i="18"/>
  <c r="I110" i="18"/>
  <c r="I173" i="18"/>
  <c r="I116" i="18"/>
  <c r="I128" i="18"/>
  <c r="I32" i="18"/>
  <c r="I192" i="18"/>
  <c r="I84" i="18"/>
  <c r="I121" i="18"/>
  <c r="I62" i="18"/>
  <c r="I75" i="18"/>
  <c r="I147" i="18"/>
  <c r="I176" i="18"/>
  <c r="I34" i="18"/>
  <c r="I210" i="18"/>
  <c r="I27" i="18"/>
  <c r="I129" i="18"/>
  <c r="I59" i="18"/>
  <c r="I154" i="18"/>
  <c r="I61" i="18"/>
  <c r="I206" i="18"/>
  <c r="I188" i="18"/>
  <c r="I198" i="18"/>
  <c r="I100" i="18"/>
  <c r="I141" i="18"/>
  <c r="I157" i="18"/>
  <c r="I24" i="18"/>
  <c r="I51" i="18"/>
  <c r="I65" i="18"/>
  <c r="I118" i="18"/>
  <c r="I29" i="18"/>
  <c r="I82" i="18"/>
  <c r="I25" i="18"/>
  <c r="I91" i="18"/>
  <c r="I123" i="18"/>
  <c r="I40" i="18"/>
  <c r="I96" i="18"/>
  <c r="I57" i="18"/>
  <c r="I146" i="18"/>
  <c r="I185" i="18"/>
  <c r="I153" i="18"/>
  <c r="I66" i="18"/>
  <c r="I77" i="18"/>
  <c r="I115" i="18"/>
  <c r="I181" i="18"/>
  <c r="I55" i="18"/>
  <c r="I161" i="18"/>
  <c r="I193" i="18"/>
  <c r="I197" i="18"/>
  <c r="I102" i="18"/>
  <c r="I38" i="18"/>
  <c r="I81" i="18"/>
  <c r="I159" i="18"/>
  <c r="I53" i="18"/>
  <c r="I169" i="18"/>
  <c r="I199" i="18"/>
  <c r="I140" i="18"/>
  <c r="I64" i="18"/>
  <c r="I58" i="18"/>
  <c r="I207" i="18"/>
  <c r="I111" i="18"/>
  <c r="I39" i="18"/>
  <c r="I142" i="18"/>
  <c r="I28" i="18"/>
  <c r="I90" i="18"/>
  <c r="I98" i="18"/>
  <c r="I152" i="18"/>
  <c r="I162" i="18"/>
  <c r="I99" i="18"/>
  <c r="I70" i="18"/>
  <c r="I175" i="18"/>
  <c r="I86" i="18"/>
  <c r="I182" i="18"/>
  <c r="I202" i="18"/>
  <c r="I74" i="18"/>
  <c r="I60" i="18"/>
  <c r="I69" i="18"/>
  <c r="I105" i="18"/>
  <c r="I20" i="18"/>
  <c r="I195" i="18"/>
  <c r="I104" i="18"/>
  <c r="I163" i="18"/>
  <c r="I35" i="18"/>
  <c r="I114" i="18"/>
  <c r="I137" i="18"/>
  <c r="I106" i="18"/>
  <c r="I119" i="18"/>
  <c r="I41" i="18"/>
  <c r="I150" i="18"/>
  <c r="I109" i="18"/>
  <c r="I80" i="18"/>
  <c r="I171" i="18"/>
  <c r="I203" i="18"/>
  <c r="I68" i="18"/>
  <c r="I56" i="18"/>
  <c r="I36" i="18"/>
  <c r="I76" i="18"/>
  <c r="I155" i="18"/>
  <c r="I95" i="18"/>
  <c r="I184" i="18"/>
  <c r="I139" i="18"/>
  <c r="I48" i="18"/>
  <c r="I156" i="18"/>
  <c r="F14" i="29"/>
  <c r="I63" i="18"/>
  <c r="I196" i="18"/>
  <c r="I44" i="18"/>
  <c r="I21" i="18"/>
  <c r="I145" i="18"/>
  <c r="I22" i="18"/>
  <c r="I94" i="18"/>
  <c r="I79" i="18"/>
  <c r="I187" i="18"/>
  <c r="I183" i="18"/>
  <c r="I47" i="18"/>
  <c r="I54" i="18"/>
  <c r="I103" i="18"/>
  <c r="I172" i="18"/>
  <c r="I73" i="18"/>
  <c r="I130" i="18"/>
  <c r="I208" i="18"/>
  <c r="I92" i="18"/>
  <c r="I134" i="18"/>
  <c r="I211" i="18"/>
  <c r="I33" i="18"/>
  <c r="I178" i="18"/>
  <c r="I112" i="18"/>
  <c r="I132" i="18"/>
  <c r="I191" i="18"/>
  <c r="I209" i="18"/>
  <c r="I52" i="18"/>
  <c r="I148" i="18"/>
  <c r="I101" i="18"/>
  <c r="I42" i="18"/>
  <c r="I131" i="18"/>
  <c r="I93" i="18"/>
  <c r="I167" i="18"/>
  <c r="I127" i="18"/>
  <c r="I124" i="18"/>
  <c r="I122" i="18"/>
  <c r="I37" i="18"/>
  <c r="I43" i="18"/>
  <c r="I67" i="18"/>
  <c r="I165" i="18"/>
  <c r="I113" i="18"/>
  <c r="I78" i="18"/>
  <c r="I189" i="18"/>
  <c r="I151" i="18"/>
  <c r="I85" i="18"/>
  <c r="I149" i="18"/>
  <c r="I83" i="18"/>
  <c r="I71" i="18"/>
  <c r="I87" i="18"/>
  <c r="I107" i="18"/>
  <c r="I72" i="18"/>
  <c r="I50" i="18"/>
  <c r="I204" i="18"/>
  <c r="I30" i="18"/>
  <c r="I97" i="18"/>
  <c r="I23" i="18"/>
  <c r="I144" i="18"/>
  <c r="I200" i="18"/>
  <c r="I170" i="18"/>
  <c r="I143" i="18"/>
  <c r="I126" i="18"/>
  <c r="I125" i="18"/>
  <c r="I174" i="18"/>
  <c r="I135" i="18"/>
  <c r="I160" i="18"/>
  <c r="I166" i="18"/>
  <c r="I88" i="18"/>
  <c r="I180" i="18"/>
  <c r="I164" i="18"/>
  <c r="I31" i="18"/>
  <c r="K179" i="18" l="1"/>
  <c r="J179" i="18"/>
  <c r="K109" i="18"/>
  <c r="J109" i="18"/>
  <c r="K50" i="18"/>
  <c r="J50" i="18"/>
  <c r="K161" i="18"/>
  <c r="J161" i="18"/>
  <c r="K102" i="18"/>
  <c r="J102" i="18"/>
  <c r="K200" i="18"/>
  <c r="J200" i="18"/>
  <c r="K104" i="18"/>
  <c r="J104" i="18"/>
  <c r="K110" i="18"/>
  <c r="J110" i="18"/>
  <c r="K191" i="18"/>
  <c r="J191" i="18"/>
  <c r="K159" i="18"/>
  <c r="J159" i="18"/>
  <c r="K127" i="18"/>
  <c r="J127" i="18"/>
  <c r="K95" i="18"/>
  <c r="J95" i="18"/>
  <c r="K63" i="18"/>
  <c r="J63" i="18"/>
  <c r="K31" i="18"/>
  <c r="J31" i="18"/>
  <c r="K165" i="18"/>
  <c r="J165" i="18"/>
  <c r="K203" i="18"/>
  <c r="J203" i="18"/>
  <c r="K42" i="18"/>
  <c r="J42" i="18"/>
  <c r="K210" i="18"/>
  <c r="J210" i="18"/>
  <c r="K178" i="18"/>
  <c r="J178" i="18"/>
  <c r="K146" i="18"/>
  <c r="J146" i="18"/>
  <c r="K114" i="18"/>
  <c r="J114" i="18"/>
  <c r="K82" i="18"/>
  <c r="J82" i="18"/>
  <c r="K26" i="18"/>
  <c r="J26" i="18"/>
  <c r="K38" i="18"/>
  <c r="J38" i="18"/>
  <c r="K61" i="18"/>
  <c r="J61" i="18"/>
  <c r="K68" i="18"/>
  <c r="J68" i="18"/>
  <c r="K185" i="18"/>
  <c r="J185" i="18"/>
  <c r="K153" i="18"/>
  <c r="J153" i="18"/>
  <c r="K121" i="18"/>
  <c r="J121" i="18"/>
  <c r="K89" i="18"/>
  <c r="J89" i="18"/>
  <c r="K57" i="18"/>
  <c r="J57" i="18"/>
  <c r="K40" i="18"/>
  <c r="J40" i="18"/>
  <c r="K70" i="18"/>
  <c r="J70" i="18"/>
  <c r="K117" i="18"/>
  <c r="J117" i="18"/>
  <c r="K92" i="18"/>
  <c r="J92" i="18"/>
  <c r="K192" i="18"/>
  <c r="J192" i="18"/>
  <c r="K160" i="18"/>
  <c r="J160" i="18"/>
  <c r="K128" i="18"/>
  <c r="J128" i="18"/>
  <c r="K96" i="18"/>
  <c r="J96" i="18"/>
  <c r="K64" i="18"/>
  <c r="J64" i="18"/>
  <c r="K54" i="18"/>
  <c r="J54" i="18"/>
  <c r="K37" i="18"/>
  <c r="J37" i="18"/>
  <c r="K60" i="18"/>
  <c r="J60" i="18"/>
  <c r="K183" i="18"/>
  <c r="J183" i="18"/>
  <c r="K151" i="18"/>
  <c r="J151" i="18"/>
  <c r="K119" i="18"/>
  <c r="J119" i="18"/>
  <c r="K87" i="18"/>
  <c r="J87" i="18"/>
  <c r="K55" i="18"/>
  <c r="J55" i="18"/>
  <c r="K23" i="18"/>
  <c r="J23" i="18"/>
  <c r="K150" i="18"/>
  <c r="J150" i="18"/>
  <c r="K62" i="18"/>
  <c r="J62" i="18"/>
  <c r="K125" i="18"/>
  <c r="J125" i="18"/>
  <c r="K188" i="18"/>
  <c r="J188" i="18"/>
  <c r="K84" i="18"/>
  <c r="J84" i="18"/>
  <c r="K147" i="18"/>
  <c r="J147" i="18"/>
  <c r="K58" i="18"/>
  <c r="J58" i="18"/>
  <c r="K86" i="18"/>
  <c r="J86" i="18"/>
  <c r="G212" i="18"/>
  <c r="M110" i="18" s="1"/>
  <c r="K20" i="18"/>
  <c r="J20" i="18"/>
  <c r="K90" i="18"/>
  <c r="J90" i="18"/>
  <c r="K101" i="18"/>
  <c r="J101" i="18"/>
  <c r="K97" i="18"/>
  <c r="J97" i="18"/>
  <c r="K141" i="18"/>
  <c r="J141" i="18"/>
  <c r="K72" i="18"/>
  <c r="J72" i="18"/>
  <c r="K124" i="18"/>
  <c r="J124" i="18"/>
  <c r="K107" i="18"/>
  <c r="J107" i="18"/>
  <c r="K46" i="18"/>
  <c r="J46" i="18"/>
  <c r="L46" i="18" s="1"/>
  <c r="K195" i="18"/>
  <c r="J195" i="18"/>
  <c r="K163" i="18"/>
  <c r="J163" i="18"/>
  <c r="K131" i="18"/>
  <c r="J131" i="18"/>
  <c r="K99" i="18"/>
  <c r="J99" i="18"/>
  <c r="K67" i="18"/>
  <c r="J67" i="18"/>
  <c r="K35" i="18"/>
  <c r="J35" i="18"/>
  <c r="K34" i="18"/>
  <c r="J34" i="18"/>
  <c r="K142" i="18"/>
  <c r="J142" i="18"/>
  <c r="L142" i="18" s="1"/>
  <c r="K173" i="18"/>
  <c r="J173" i="18"/>
  <c r="K45" i="18"/>
  <c r="J45" i="18"/>
  <c r="K76" i="18"/>
  <c r="J76" i="18"/>
  <c r="K202" i="18"/>
  <c r="J202" i="18"/>
  <c r="K170" i="18"/>
  <c r="J170" i="18"/>
  <c r="K138" i="18"/>
  <c r="J138" i="18"/>
  <c r="K106" i="18"/>
  <c r="J106" i="18"/>
  <c r="K74" i="18"/>
  <c r="J74" i="18"/>
  <c r="K32" i="18"/>
  <c r="J32" i="18"/>
  <c r="K181" i="18"/>
  <c r="J181" i="18"/>
  <c r="K204" i="18"/>
  <c r="J204" i="18"/>
  <c r="K209" i="18"/>
  <c r="J209" i="18"/>
  <c r="K177" i="18"/>
  <c r="J177" i="18"/>
  <c r="K145" i="18"/>
  <c r="J145" i="18"/>
  <c r="K113" i="18"/>
  <c r="J113" i="18"/>
  <c r="K81" i="18"/>
  <c r="J81" i="18"/>
  <c r="K49" i="18"/>
  <c r="J49" i="18"/>
  <c r="K24" i="18"/>
  <c r="J24" i="18"/>
  <c r="K22" i="18"/>
  <c r="J22" i="18"/>
  <c r="K69" i="18"/>
  <c r="J69" i="18"/>
  <c r="K36" i="18"/>
  <c r="J36" i="18"/>
  <c r="K184" i="18"/>
  <c r="J184" i="18"/>
  <c r="K152" i="18"/>
  <c r="J152" i="18"/>
  <c r="K120" i="18"/>
  <c r="J120" i="18"/>
  <c r="K88" i="18"/>
  <c r="J88" i="18"/>
  <c r="K48" i="18"/>
  <c r="J48" i="18"/>
  <c r="K197" i="18"/>
  <c r="J197" i="18"/>
  <c r="K196" i="18"/>
  <c r="J196" i="18"/>
  <c r="K207" i="18"/>
  <c r="J207" i="18"/>
  <c r="K175" i="18"/>
  <c r="J175" i="18"/>
  <c r="K143" i="18"/>
  <c r="J143" i="18"/>
  <c r="K111" i="18"/>
  <c r="J111" i="18"/>
  <c r="K79" i="18"/>
  <c r="J79" i="18"/>
  <c r="K47" i="18"/>
  <c r="J47" i="18"/>
  <c r="K206" i="18"/>
  <c r="J206" i="18"/>
  <c r="K134" i="18"/>
  <c r="J134" i="18"/>
  <c r="K30" i="18"/>
  <c r="J30" i="18"/>
  <c r="K85" i="18"/>
  <c r="J85" i="18"/>
  <c r="K172" i="18"/>
  <c r="J172" i="18"/>
  <c r="K52" i="18"/>
  <c r="J52" i="18"/>
  <c r="K83" i="18"/>
  <c r="J83" i="18"/>
  <c r="K186" i="18"/>
  <c r="J186" i="18"/>
  <c r="K116" i="18"/>
  <c r="J116" i="18"/>
  <c r="K25" i="18"/>
  <c r="J25" i="18"/>
  <c r="L25" i="18" s="1"/>
  <c r="K136" i="18"/>
  <c r="J136" i="18"/>
  <c r="K108" i="18"/>
  <c r="J108" i="18"/>
  <c r="K158" i="18"/>
  <c r="J158" i="18"/>
  <c r="K100" i="18"/>
  <c r="J100" i="18"/>
  <c r="K51" i="18"/>
  <c r="J51" i="18"/>
  <c r="K122" i="18"/>
  <c r="J122" i="18"/>
  <c r="K129" i="18"/>
  <c r="J129" i="18"/>
  <c r="K168" i="18"/>
  <c r="J168" i="18"/>
  <c r="K78" i="18"/>
  <c r="J78" i="18"/>
  <c r="M78" i="18"/>
  <c r="K77" i="18"/>
  <c r="J77" i="18"/>
  <c r="K126" i="18"/>
  <c r="J126" i="18"/>
  <c r="K198" i="18"/>
  <c r="J198" i="18"/>
  <c r="K169" i="18"/>
  <c r="J169" i="18"/>
  <c r="K105" i="18"/>
  <c r="J105" i="18"/>
  <c r="K73" i="18"/>
  <c r="J73" i="18"/>
  <c r="K174" i="18"/>
  <c r="J174" i="18"/>
  <c r="K189" i="18"/>
  <c r="J189" i="18"/>
  <c r="K29" i="18"/>
  <c r="J29" i="18"/>
  <c r="L29" i="18" s="1"/>
  <c r="K208" i="18"/>
  <c r="J208" i="18"/>
  <c r="K176" i="18"/>
  <c r="J176" i="18"/>
  <c r="K144" i="18"/>
  <c r="J144" i="18"/>
  <c r="K112" i="18"/>
  <c r="J112" i="18"/>
  <c r="K80" i="18"/>
  <c r="J80" i="18"/>
  <c r="K166" i="18"/>
  <c r="J166" i="18"/>
  <c r="K149" i="18"/>
  <c r="J149" i="18"/>
  <c r="K164" i="18"/>
  <c r="J164" i="18"/>
  <c r="K199" i="18"/>
  <c r="J199" i="18"/>
  <c r="K167" i="18"/>
  <c r="J167" i="18"/>
  <c r="K135" i="18"/>
  <c r="J135" i="18"/>
  <c r="K103" i="18"/>
  <c r="J103" i="18"/>
  <c r="K71" i="18"/>
  <c r="J71" i="18"/>
  <c r="K39" i="18"/>
  <c r="J39" i="18"/>
  <c r="K190" i="18"/>
  <c r="J190" i="18"/>
  <c r="K118" i="18"/>
  <c r="J118" i="18"/>
  <c r="K205" i="18"/>
  <c r="J205" i="18"/>
  <c r="K53" i="18"/>
  <c r="J53" i="18"/>
  <c r="K140" i="18"/>
  <c r="J140" i="18"/>
  <c r="K28" i="18"/>
  <c r="J28" i="18"/>
  <c r="K211" i="18"/>
  <c r="J211" i="18"/>
  <c r="K115" i="18"/>
  <c r="J115" i="18"/>
  <c r="K56" i="18"/>
  <c r="J56" i="18"/>
  <c r="M56" i="18"/>
  <c r="K132" i="18"/>
  <c r="J132" i="18"/>
  <c r="K154" i="18"/>
  <c r="J154" i="18"/>
  <c r="K94" i="18"/>
  <c r="J94" i="18"/>
  <c r="M94" i="18"/>
  <c r="K193" i="18"/>
  <c r="J193" i="18"/>
  <c r="K65" i="18"/>
  <c r="J65" i="18"/>
  <c r="K156" i="18"/>
  <c r="J156" i="18"/>
  <c r="M156" i="18"/>
  <c r="K93" i="18"/>
  <c r="J93" i="18"/>
  <c r="K21" i="18"/>
  <c r="J21" i="18"/>
  <c r="K171" i="18"/>
  <c r="J171" i="18"/>
  <c r="K139" i="18"/>
  <c r="J139" i="18"/>
  <c r="K75" i="18"/>
  <c r="J75" i="18"/>
  <c r="K43" i="18"/>
  <c r="J43" i="18"/>
  <c r="K182" i="18"/>
  <c r="J182" i="18"/>
  <c r="K187" i="18"/>
  <c r="J187" i="18"/>
  <c r="K155" i="18"/>
  <c r="J155" i="18"/>
  <c r="K123" i="18"/>
  <c r="J123" i="18"/>
  <c r="K91" i="18"/>
  <c r="J91" i="18"/>
  <c r="K59" i="18"/>
  <c r="J59" i="18"/>
  <c r="K27" i="18"/>
  <c r="J27" i="18"/>
  <c r="K33" i="18"/>
  <c r="J33" i="18"/>
  <c r="K133" i="18"/>
  <c r="J133" i="18"/>
  <c r="K180" i="18"/>
  <c r="J180" i="18"/>
  <c r="K44" i="18"/>
  <c r="J44" i="18"/>
  <c r="K194" i="18"/>
  <c r="J194" i="18"/>
  <c r="K162" i="18"/>
  <c r="J162" i="18"/>
  <c r="K130" i="18"/>
  <c r="J130" i="18"/>
  <c r="K98" i="18"/>
  <c r="J98" i="18"/>
  <c r="K66" i="18"/>
  <c r="J66" i="18"/>
  <c r="K157" i="18"/>
  <c r="J157" i="18"/>
  <c r="M157" i="18"/>
  <c r="K148" i="18"/>
  <c r="J148" i="18"/>
  <c r="K201" i="18"/>
  <c r="J201" i="18"/>
  <c r="K137" i="18"/>
  <c r="J137" i="18"/>
  <c r="M137" i="18"/>
  <c r="K41" i="18"/>
  <c r="J41" i="18"/>
  <c r="L153" i="18" l="1"/>
  <c r="L154" i="18"/>
  <c r="L134" i="18"/>
  <c r="L137" i="18"/>
  <c r="L126" i="18"/>
  <c r="L118" i="18"/>
  <c r="L166" i="18"/>
  <c r="N166" i="18" s="1"/>
  <c r="R166" i="18" s="1"/>
  <c r="L62" i="18"/>
  <c r="L60" i="18"/>
  <c r="L92" i="18"/>
  <c r="L57" i="18"/>
  <c r="L185" i="18"/>
  <c r="L201" i="18"/>
  <c r="L23" i="18"/>
  <c r="N23" i="18" s="1"/>
  <c r="R23" i="18" s="1"/>
  <c r="L61" i="18"/>
  <c r="N61" i="18" s="1"/>
  <c r="R61" i="18" s="1"/>
  <c r="L27" i="18"/>
  <c r="L155" i="18"/>
  <c r="L93" i="18"/>
  <c r="L181" i="18"/>
  <c r="L130" i="18"/>
  <c r="L180" i="18"/>
  <c r="L108" i="18"/>
  <c r="M106" i="18"/>
  <c r="M198" i="18"/>
  <c r="M73" i="18"/>
  <c r="M49" i="18"/>
  <c r="L101" i="18"/>
  <c r="M25" i="18"/>
  <c r="M192" i="18"/>
  <c r="L77" i="18"/>
  <c r="L127" i="18"/>
  <c r="L115" i="18"/>
  <c r="L176" i="18"/>
  <c r="L174" i="18"/>
  <c r="L175" i="18"/>
  <c r="L106" i="18"/>
  <c r="L97" i="18"/>
  <c r="L65" i="18"/>
  <c r="L199" i="18"/>
  <c r="L80" i="18"/>
  <c r="L191" i="18"/>
  <c r="L66" i="18"/>
  <c r="L123" i="18"/>
  <c r="N123" i="18" s="1"/>
  <c r="R123" i="18" s="1"/>
  <c r="L168" i="18"/>
  <c r="L58" i="18"/>
  <c r="M33" i="18"/>
  <c r="M135" i="18"/>
  <c r="M69" i="18"/>
  <c r="M61" i="18"/>
  <c r="M155" i="18"/>
  <c r="N155" i="18" s="1"/>
  <c r="R155" i="18" s="1"/>
  <c r="M43" i="18"/>
  <c r="M171" i="18"/>
  <c r="M199" i="18"/>
  <c r="M166" i="18"/>
  <c r="M144" i="18"/>
  <c r="L129" i="18"/>
  <c r="M83" i="18"/>
  <c r="M143" i="18"/>
  <c r="M202" i="18"/>
  <c r="L183" i="18"/>
  <c r="L70" i="18"/>
  <c r="M75" i="18"/>
  <c r="M21" i="18"/>
  <c r="M80" i="18"/>
  <c r="N80" i="18" s="1"/>
  <c r="R80" i="18" s="1"/>
  <c r="M176" i="18"/>
  <c r="M189" i="18"/>
  <c r="M79" i="18"/>
  <c r="M152" i="18"/>
  <c r="M99" i="18"/>
  <c r="M86" i="18"/>
  <c r="M153" i="18"/>
  <c r="M44" i="18"/>
  <c r="M39" i="18"/>
  <c r="M158" i="18"/>
  <c r="M201" i="18"/>
  <c r="N201" i="18" s="1"/>
  <c r="R201" i="18" s="1"/>
  <c r="M66" i="18"/>
  <c r="M162" i="18"/>
  <c r="M154" i="18"/>
  <c r="N154" i="18" s="1"/>
  <c r="R154" i="18" s="1"/>
  <c r="M115" i="18"/>
  <c r="M140" i="18"/>
  <c r="L105" i="18"/>
  <c r="M126" i="18"/>
  <c r="N126" i="18" s="1"/>
  <c r="R126" i="18" s="1"/>
  <c r="M168" i="18"/>
  <c r="M51" i="18"/>
  <c r="M134" i="18"/>
  <c r="N134" i="18" s="1"/>
  <c r="R134" i="18" s="1"/>
  <c r="M32" i="18"/>
  <c r="M34" i="18"/>
  <c r="M128" i="18"/>
  <c r="M63" i="18"/>
  <c r="M91" i="18"/>
  <c r="M205" i="18"/>
  <c r="M195" i="18"/>
  <c r="M27" i="18"/>
  <c r="N27" i="18" s="1"/>
  <c r="R27" i="18" s="1"/>
  <c r="M123" i="18"/>
  <c r="M182" i="18"/>
  <c r="M71" i="18"/>
  <c r="M167" i="18"/>
  <c r="M149" i="18"/>
  <c r="M172" i="18"/>
  <c r="M209" i="18"/>
  <c r="M90" i="18"/>
  <c r="M23" i="18"/>
  <c r="M146" i="18"/>
  <c r="M102" i="18"/>
  <c r="M41" i="18"/>
  <c r="M93" i="18"/>
  <c r="N93" i="18" s="1"/>
  <c r="R93" i="18" s="1"/>
  <c r="M193" i="18"/>
  <c r="M208" i="18"/>
  <c r="M174" i="18"/>
  <c r="M169" i="18"/>
  <c r="M88" i="18"/>
  <c r="M113" i="18"/>
  <c r="M141" i="18"/>
  <c r="M125" i="18"/>
  <c r="L151" i="18"/>
  <c r="M89" i="18"/>
  <c r="M98" i="18"/>
  <c r="M194" i="18"/>
  <c r="M133" i="18"/>
  <c r="M211" i="18"/>
  <c r="M53" i="18"/>
  <c r="M190" i="18"/>
  <c r="M129" i="18"/>
  <c r="N129" i="18" s="1"/>
  <c r="R129" i="18" s="1"/>
  <c r="M100" i="18"/>
  <c r="M196" i="18"/>
  <c r="L24" i="18"/>
  <c r="L113" i="18"/>
  <c r="L74" i="18"/>
  <c r="M173" i="18"/>
  <c r="M107" i="18"/>
  <c r="L141" i="18"/>
  <c r="N141" i="18" s="1"/>
  <c r="R141" i="18" s="1"/>
  <c r="L160" i="18"/>
  <c r="N33" i="18"/>
  <c r="R33" i="18" s="1"/>
  <c r="L52" i="18"/>
  <c r="L69" i="18"/>
  <c r="M54" i="18"/>
  <c r="L114" i="18"/>
  <c r="L104" i="18"/>
  <c r="L44" i="18"/>
  <c r="N44" i="18" s="1"/>
  <c r="R44" i="18" s="1"/>
  <c r="L33" i="18"/>
  <c r="L187" i="18"/>
  <c r="L71" i="18"/>
  <c r="L167" i="18"/>
  <c r="N167" i="18" s="1"/>
  <c r="R167" i="18" s="1"/>
  <c r="L112" i="18"/>
  <c r="L48" i="18"/>
  <c r="L152" i="18"/>
  <c r="L81" i="18"/>
  <c r="L138" i="18"/>
  <c r="L99" i="18"/>
  <c r="L54" i="18"/>
  <c r="L38" i="18"/>
  <c r="L42" i="18"/>
  <c r="M159" i="18"/>
  <c r="L50" i="18"/>
  <c r="L139" i="18"/>
  <c r="L211" i="18"/>
  <c r="L53" i="18"/>
  <c r="N53" i="18" s="1"/>
  <c r="R53" i="18" s="1"/>
  <c r="L103" i="18"/>
  <c r="L186" i="18"/>
  <c r="L172" i="18"/>
  <c r="L111" i="18"/>
  <c r="L184" i="18"/>
  <c r="L209" i="18"/>
  <c r="L124" i="18"/>
  <c r="L87" i="18"/>
  <c r="L64" i="18"/>
  <c r="M70" i="18"/>
  <c r="L26" i="18"/>
  <c r="L146" i="18"/>
  <c r="N146" i="18" s="1"/>
  <c r="R146" i="18" s="1"/>
  <c r="L203" i="18"/>
  <c r="L63" i="18"/>
  <c r="N63" i="18" s="1"/>
  <c r="R63" i="18" s="1"/>
  <c r="L148" i="18"/>
  <c r="L156" i="18"/>
  <c r="N156" i="18" s="1"/>
  <c r="R156" i="18" s="1"/>
  <c r="L94" i="18"/>
  <c r="N94" i="18" s="1"/>
  <c r="R94" i="18" s="1"/>
  <c r="L28" i="18"/>
  <c r="L73" i="18"/>
  <c r="N73" i="18" s="1"/>
  <c r="R73" i="18" s="1"/>
  <c r="L198" i="18"/>
  <c r="N198" i="18" s="1"/>
  <c r="R198" i="18" s="1"/>
  <c r="L85" i="18"/>
  <c r="L196" i="18"/>
  <c r="N196" i="18" s="1"/>
  <c r="R196" i="18" s="1"/>
  <c r="L163" i="18"/>
  <c r="L107" i="18"/>
  <c r="L86" i="18"/>
  <c r="N86" i="18" s="1"/>
  <c r="R86" i="18" s="1"/>
  <c r="L188" i="18"/>
  <c r="M119" i="18"/>
  <c r="L121" i="18"/>
  <c r="M82" i="18"/>
  <c r="L178" i="18"/>
  <c r="L102" i="18"/>
  <c r="L179" i="18"/>
  <c r="L194" i="18"/>
  <c r="N194" i="18" s="1"/>
  <c r="R194" i="18" s="1"/>
  <c r="L43" i="18"/>
  <c r="L39" i="18"/>
  <c r="N39" i="18" s="1"/>
  <c r="R39" i="18" s="1"/>
  <c r="L100" i="18"/>
  <c r="L120" i="18"/>
  <c r="L145" i="18"/>
  <c r="L202" i="18"/>
  <c r="L40" i="18"/>
  <c r="L165" i="18"/>
  <c r="L110" i="18"/>
  <c r="N110" i="18" s="1"/>
  <c r="R110" i="18" s="1"/>
  <c r="L98" i="18"/>
  <c r="L59" i="18"/>
  <c r="L75" i="18"/>
  <c r="N75" i="18" s="1"/>
  <c r="R75" i="18" s="1"/>
  <c r="L132" i="18"/>
  <c r="L208" i="18"/>
  <c r="N25" i="18"/>
  <c r="R25" i="18" s="1"/>
  <c r="L47" i="18"/>
  <c r="L143" i="18"/>
  <c r="N143" i="18" s="1"/>
  <c r="R143" i="18" s="1"/>
  <c r="L96" i="18"/>
  <c r="L192" i="18"/>
  <c r="N192" i="18" s="1"/>
  <c r="R192" i="18" s="1"/>
  <c r="M109" i="18"/>
  <c r="N137" i="18"/>
  <c r="R137" i="18" s="1"/>
  <c r="L158" i="18"/>
  <c r="L147" i="18"/>
  <c r="L125" i="18"/>
  <c r="N125" i="18" s="1"/>
  <c r="R125" i="18" s="1"/>
  <c r="N153" i="18"/>
  <c r="R153" i="18" s="1"/>
  <c r="K13" i="18"/>
  <c r="L205" i="18"/>
  <c r="L164" i="18"/>
  <c r="N176" i="18"/>
  <c r="R176" i="18" s="1"/>
  <c r="L122" i="18"/>
  <c r="L45" i="18"/>
  <c r="L34" i="18"/>
  <c r="N34" i="18" s="1"/>
  <c r="R34" i="18" s="1"/>
  <c r="M50" i="18"/>
  <c r="M127" i="18"/>
  <c r="M26" i="18"/>
  <c r="N26" i="18" s="1"/>
  <c r="R26" i="18" s="1"/>
  <c r="M57" i="18"/>
  <c r="N57" i="18" s="1"/>
  <c r="R57" i="18" s="1"/>
  <c r="M96" i="18"/>
  <c r="M87" i="18"/>
  <c r="M147" i="18"/>
  <c r="M101" i="18"/>
  <c r="M163" i="18"/>
  <c r="M45" i="18"/>
  <c r="M181" i="18"/>
  <c r="M24" i="18"/>
  <c r="M48" i="18"/>
  <c r="M47" i="18"/>
  <c r="M186" i="18"/>
  <c r="N186" i="18" s="1"/>
  <c r="R186" i="18" s="1"/>
  <c r="M29" i="18"/>
  <c r="N29" i="18" s="1"/>
  <c r="R29" i="18" s="1"/>
  <c r="M164" i="18"/>
  <c r="M118" i="18"/>
  <c r="M132" i="18"/>
  <c r="M139" i="18"/>
  <c r="M187" i="18"/>
  <c r="M180" i="18"/>
  <c r="N180" i="18" s="1"/>
  <c r="R180" i="18" s="1"/>
  <c r="M148" i="18"/>
  <c r="M200" i="18"/>
  <c r="M31" i="18"/>
  <c r="M210" i="18"/>
  <c r="M68" i="18"/>
  <c r="M117" i="18"/>
  <c r="M37" i="18"/>
  <c r="M150" i="18"/>
  <c r="M72" i="18"/>
  <c r="M67" i="18"/>
  <c r="M170" i="18"/>
  <c r="M177" i="18"/>
  <c r="M36" i="18"/>
  <c r="M207" i="18"/>
  <c r="M30" i="18"/>
  <c r="M136" i="18"/>
  <c r="M179" i="18"/>
  <c r="M191" i="18"/>
  <c r="N191" i="18" s="1"/>
  <c r="R191" i="18" s="1"/>
  <c r="M114" i="18"/>
  <c r="N114" i="18" s="1"/>
  <c r="R114" i="18" s="1"/>
  <c r="M121" i="18"/>
  <c r="M160" i="18"/>
  <c r="M151" i="18"/>
  <c r="M188" i="18"/>
  <c r="M20" i="18"/>
  <c r="M46" i="18"/>
  <c r="N46" i="18" s="1"/>
  <c r="R46" i="18" s="1"/>
  <c r="M142" i="18"/>
  <c r="N142" i="18" s="1"/>
  <c r="R142" i="18" s="1"/>
  <c r="M74" i="18"/>
  <c r="M81" i="18"/>
  <c r="M120" i="18"/>
  <c r="M111" i="18"/>
  <c r="M52" i="18"/>
  <c r="M161" i="18"/>
  <c r="M95" i="18"/>
  <c r="M203" i="18"/>
  <c r="M38" i="18"/>
  <c r="M40" i="18"/>
  <c r="M64" i="18"/>
  <c r="M55" i="18"/>
  <c r="M58" i="18"/>
  <c r="M97" i="18"/>
  <c r="M131" i="18"/>
  <c r="M76" i="18"/>
  <c r="M204" i="18"/>
  <c r="M22" i="18"/>
  <c r="M197" i="18"/>
  <c r="M206" i="18"/>
  <c r="M116" i="18"/>
  <c r="M104" i="18"/>
  <c r="M165" i="18"/>
  <c r="M178" i="18"/>
  <c r="M185" i="18"/>
  <c r="N185" i="18" s="1"/>
  <c r="R185" i="18" s="1"/>
  <c r="M92" i="18"/>
  <c r="N92" i="18" s="1"/>
  <c r="R92" i="18" s="1"/>
  <c r="M60" i="18"/>
  <c r="N60" i="18" s="1"/>
  <c r="R60" i="18" s="1"/>
  <c r="M62" i="18"/>
  <c r="N62" i="18" s="1"/>
  <c r="R62" i="18" s="1"/>
  <c r="M124" i="18"/>
  <c r="M35" i="18"/>
  <c r="M138" i="18"/>
  <c r="M145" i="18"/>
  <c r="M184" i="18"/>
  <c r="M175" i="18"/>
  <c r="M85" i="18"/>
  <c r="M108" i="18"/>
  <c r="M122" i="18"/>
  <c r="M77" i="18"/>
  <c r="M105" i="18"/>
  <c r="N105" i="18" s="1"/>
  <c r="R105" i="18" s="1"/>
  <c r="M112" i="18"/>
  <c r="N112" i="18" s="1"/>
  <c r="R112" i="18" s="1"/>
  <c r="M103" i="18"/>
  <c r="M28" i="18"/>
  <c r="M65" i="18"/>
  <c r="M59" i="18"/>
  <c r="M130" i="18"/>
  <c r="N130" i="18" s="1"/>
  <c r="R130" i="18" s="1"/>
  <c r="M84" i="18"/>
  <c r="M183" i="18"/>
  <c r="M42" i="18"/>
  <c r="N42" i="18" s="1"/>
  <c r="R42" i="18" s="1"/>
  <c r="L157" i="18"/>
  <c r="N157" i="18" s="1"/>
  <c r="R157" i="18" s="1"/>
  <c r="L133" i="18"/>
  <c r="N133" i="18" s="1"/>
  <c r="R133" i="18" s="1"/>
  <c r="L171" i="18"/>
  <c r="L21" i="18"/>
  <c r="N21" i="18" s="1"/>
  <c r="R21" i="18" s="1"/>
  <c r="L56" i="18"/>
  <c r="J13" i="18"/>
  <c r="L190" i="18"/>
  <c r="N190" i="18" s="1"/>
  <c r="R190" i="18" s="1"/>
  <c r="L149" i="18"/>
  <c r="N149" i="18" s="1"/>
  <c r="R149" i="18" s="1"/>
  <c r="L189" i="18"/>
  <c r="L78" i="18"/>
  <c r="N78" i="18" s="1"/>
  <c r="R78" i="18" s="1"/>
  <c r="L83" i="18"/>
  <c r="N83" i="18" s="1"/>
  <c r="R83" i="18" s="1"/>
  <c r="L79" i="18"/>
  <c r="L88" i="18"/>
  <c r="N88" i="18" s="1"/>
  <c r="R88" i="18" s="1"/>
  <c r="L49" i="18"/>
  <c r="L32" i="18"/>
  <c r="N32" i="18" s="1"/>
  <c r="R32" i="18" s="1"/>
  <c r="L173" i="18"/>
  <c r="N173" i="18" s="1"/>
  <c r="R173" i="18" s="1"/>
  <c r="L195" i="18"/>
  <c r="L90" i="18"/>
  <c r="L84" i="18"/>
  <c r="L119" i="18"/>
  <c r="L128" i="18"/>
  <c r="L89" i="18"/>
  <c r="L82" i="18"/>
  <c r="L159" i="18"/>
  <c r="N159" i="18" s="1"/>
  <c r="R159" i="18" s="1"/>
  <c r="L109" i="18"/>
  <c r="L35" i="18"/>
  <c r="L116" i="18"/>
  <c r="L206" i="18"/>
  <c r="L197" i="18"/>
  <c r="L22" i="18"/>
  <c r="L204" i="18"/>
  <c r="L76" i="18"/>
  <c r="L131" i="18"/>
  <c r="L55" i="18"/>
  <c r="L95" i="18"/>
  <c r="L161" i="18"/>
  <c r="L20" i="18"/>
  <c r="J212" i="18"/>
  <c r="J14" i="18"/>
  <c r="L41" i="18"/>
  <c r="N41" i="18" s="1"/>
  <c r="R41" i="18" s="1"/>
  <c r="L162" i="18"/>
  <c r="L91" i="18"/>
  <c r="L182" i="18"/>
  <c r="N182" i="18" s="1"/>
  <c r="R182" i="18" s="1"/>
  <c r="L193" i="18"/>
  <c r="L140" i="18"/>
  <c r="L135" i="18"/>
  <c r="N135" i="18" s="1"/>
  <c r="R135" i="18" s="1"/>
  <c r="L144" i="18"/>
  <c r="N144" i="18" s="1"/>
  <c r="R144" i="18" s="1"/>
  <c r="L169" i="18"/>
  <c r="N169" i="18" s="1"/>
  <c r="R169" i="18" s="1"/>
  <c r="L51" i="18"/>
  <c r="L136" i="18"/>
  <c r="L30" i="18"/>
  <c r="L207" i="18"/>
  <c r="L36" i="18"/>
  <c r="L177" i="18"/>
  <c r="L170" i="18"/>
  <c r="L67" i="18"/>
  <c r="L72" i="18"/>
  <c r="K14" i="18"/>
  <c r="K212" i="18"/>
  <c r="L150" i="18"/>
  <c r="L37" i="18"/>
  <c r="L117" i="18"/>
  <c r="L68" i="18"/>
  <c r="L210" i="18"/>
  <c r="L31" i="18"/>
  <c r="L200" i="18"/>
  <c r="N113" i="18" l="1"/>
  <c r="R113" i="18" s="1"/>
  <c r="N172" i="18"/>
  <c r="R172" i="18" s="1"/>
  <c r="N118" i="18"/>
  <c r="R118" i="18" s="1"/>
  <c r="N127" i="18"/>
  <c r="R127" i="18" s="1"/>
  <c r="N108" i="18"/>
  <c r="R108" i="18" s="1"/>
  <c r="N65" i="18"/>
  <c r="R65" i="18" s="1"/>
  <c r="N64" i="18"/>
  <c r="R64" i="18" s="1"/>
  <c r="N181" i="18"/>
  <c r="R181" i="18" s="1"/>
  <c r="N40" i="18"/>
  <c r="R40" i="18" s="1"/>
  <c r="N103" i="18"/>
  <c r="R103" i="18" s="1"/>
  <c r="N101" i="18"/>
  <c r="R101" i="18" s="1"/>
  <c r="N165" i="18"/>
  <c r="R165" i="18" s="1"/>
  <c r="N77" i="18"/>
  <c r="R77" i="18" s="1"/>
  <c r="N87" i="18"/>
  <c r="R87" i="18" s="1"/>
  <c r="N49" i="18"/>
  <c r="R49" i="18" s="1"/>
  <c r="N104" i="18"/>
  <c r="R104" i="18" s="1"/>
  <c r="N158" i="18"/>
  <c r="R158" i="18" s="1"/>
  <c r="N115" i="18"/>
  <c r="R115" i="18" s="1"/>
  <c r="N107" i="18"/>
  <c r="R107" i="18" s="1"/>
  <c r="N28" i="18"/>
  <c r="R28" i="18" s="1"/>
  <c r="N174" i="18"/>
  <c r="R174" i="18" s="1"/>
  <c r="N199" i="18"/>
  <c r="R199" i="18" s="1"/>
  <c r="N91" i="18"/>
  <c r="R91" i="18" s="1"/>
  <c r="N189" i="18"/>
  <c r="R189" i="18" s="1"/>
  <c r="N38" i="18"/>
  <c r="R38" i="18" s="1"/>
  <c r="N74" i="18"/>
  <c r="R74" i="18" s="1"/>
  <c r="N66" i="18"/>
  <c r="R66" i="18" s="1"/>
  <c r="N168" i="18"/>
  <c r="R168" i="18" s="1"/>
  <c r="N106" i="18"/>
  <c r="R106" i="18" s="1"/>
  <c r="N102" i="18"/>
  <c r="R102" i="18" s="1"/>
  <c r="N211" i="18"/>
  <c r="R211" i="18" s="1"/>
  <c r="N128" i="18"/>
  <c r="R128" i="18" s="1"/>
  <c r="N140" i="18"/>
  <c r="R140" i="18" s="1"/>
  <c r="N193" i="18"/>
  <c r="R193" i="18" s="1"/>
  <c r="N79" i="18"/>
  <c r="R79" i="18" s="1"/>
  <c r="N71" i="18"/>
  <c r="R71" i="18" s="1"/>
  <c r="N69" i="18"/>
  <c r="R69" i="18" s="1"/>
  <c r="N202" i="18"/>
  <c r="R202" i="18" s="1"/>
  <c r="N70" i="18"/>
  <c r="R70" i="18" s="1"/>
  <c r="N205" i="18"/>
  <c r="R205" i="18" s="1"/>
  <c r="N208" i="18"/>
  <c r="R208" i="18" s="1"/>
  <c r="N43" i="18"/>
  <c r="R43" i="18" s="1"/>
  <c r="N152" i="18"/>
  <c r="R152" i="18" s="1"/>
  <c r="N82" i="18"/>
  <c r="R82" i="18" s="1"/>
  <c r="N99" i="18"/>
  <c r="R99" i="18" s="1"/>
  <c r="N97" i="18"/>
  <c r="R97" i="18" s="1"/>
  <c r="N124" i="18"/>
  <c r="R124" i="18" s="1"/>
  <c r="N58" i="18"/>
  <c r="R58" i="18" s="1"/>
  <c r="N151" i="18"/>
  <c r="R151" i="18" s="1"/>
  <c r="N139" i="18"/>
  <c r="R139" i="18" s="1"/>
  <c r="N85" i="18"/>
  <c r="R85" i="18" s="1"/>
  <c r="N132" i="18"/>
  <c r="R132" i="18" s="1"/>
  <c r="N175" i="18"/>
  <c r="R175" i="18" s="1"/>
  <c r="N81" i="18"/>
  <c r="R81" i="18" s="1"/>
  <c r="N24" i="18"/>
  <c r="R24" i="18" s="1"/>
  <c r="N209" i="18"/>
  <c r="R209" i="18" s="1"/>
  <c r="N163" i="18"/>
  <c r="R163" i="18" s="1"/>
  <c r="N120" i="18"/>
  <c r="R120" i="18" s="1"/>
  <c r="N145" i="18"/>
  <c r="R145" i="18" s="1"/>
  <c r="N178" i="18"/>
  <c r="R178" i="18" s="1"/>
  <c r="N203" i="18"/>
  <c r="R203" i="18" s="1"/>
  <c r="N52" i="18"/>
  <c r="R52" i="18" s="1"/>
  <c r="N183" i="18"/>
  <c r="R183" i="18" s="1"/>
  <c r="N138" i="18"/>
  <c r="R138" i="18" s="1"/>
  <c r="N179" i="18"/>
  <c r="R179" i="18" s="1"/>
  <c r="N148" i="18"/>
  <c r="R148" i="18" s="1"/>
  <c r="N89" i="18"/>
  <c r="R89" i="18" s="1"/>
  <c r="N187" i="18"/>
  <c r="R187" i="18" s="1"/>
  <c r="N48" i="18"/>
  <c r="R48" i="18" s="1"/>
  <c r="N119" i="18"/>
  <c r="R119" i="18" s="1"/>
  <c r="N111" i="18"/>
  <c r="R111" i="18" s="1"/>
  <c r="N171" i="18"/>
  <c r="R171" i="18" s="1"/>
  <c r="N160" i="18"/>
  <c r="R160" i="18" s="1"/>
  <c r="N90" i="18"/>
  <c r="R90" i="18" s="1"/>
  <c r="N121" i="18"/>
  <c r="R121" i="18" s="1"/>
  <c r="N100" i="18"/>
  <c r="R100" i="18" s="1"/>
  <c r="N51" i="18"/>
  <c r="R51" i="18" s="1"/>
  <c r="N162" i="18"/>
  <c r="R162" i="18" s="1"/>
  <c r="N195" i="18"/>
  <c r="R195" i="18" s="1"/>
  <c r="N184" i="18"/>
  <c r="R184" i="18" s="1"/>
  <c r="N50" i="18"/>
  <c r="R50" i="18" s="1"/>
  <c r="N98" i="18"/>
  <c r="R98" i="18" s="1"/>
  <c r="N54" i="18"/>
  <c r="R54" i="18" s="1"/>
  <c r="N188" i="18"/>
  <c r="R188" i="18" s="1"/>
  <c r="N206" i="18"/>
  <c r="R206" i="18" s="1"/>
  <c r="N55" i="18"/>
  <c r="R55" i="18" s="1"/>
  <c r="N207" i="18"/>
  <c r="R207" i="18" s="1"/>
  <c r="N117" i="18"/>
  <c r="R117" i="18" s="1"/>
  <c r="N164" i="18"/>
  <c r="R164" i="18" s="1"/>
  <c r="N76" i="18"/>
  <c r="R76" i="18" s="1"/>
  <c r="N35" i="18"/>
  <c r="R35" i="18" s="1"/>
  <c r="N161" i="18"/>
  <c r="R161" i="18" s="1"/>
  <c r="M212" i="18"/>
  <c r="N150" i="18"/>
  <c r="R150" i="18" s="1"/>
  <c r="N47" i="18"/>
  <c r="R47" i="18" s="1"/>
  <c r="N122" i="18"/>
  <c r="R122" i="18" s="1"/>
  <c r="N116" i="18"/>
  <c r="R116" i="18" s="1"/>
  <c r="N30" i="18"/>
  <c r="R30" i="18" s="1"/>
  <c r="N37" i="18"/>
  <c r="R37" i="18" s="1"/>
  <c r="N96" i="18"/>
  <c r="R96" i="18" s="1"/>
  <c r="N109" i="18"/>
  <c r="R109" i="18" s="1"/>
  <c r="L13" i="18"/>
  <c r="N56" i="18"/>
  <c r="N197" i="18"/>
  <c r="R197" i="18" s="1"/>
  <c r="N36" i="18"/>
  <c r="R36" i="18" s="1"/>
  <c r="N68" i="18"/>
  <c r="R68" i="18" s="1"/>
  <c r="N84" i="18"/>
  <c r="R84" i="18" s="1"/>
  <c r="N22" i="18"/>
  <c r="R22" i="18" s="1"/>
  <c r="N177" i="18"/>
  <c r="R177" i="18" s="1"/>
  <c r="N210" i="18"/>
  <c r="R210" i="18" s="1"/>
  <c r="N45" i="18"/>
  <c r="R45" i="18" s="1"/>
  <c r="M13" i="18"/>
  <c r="L212" i="18"/>
  <c r="L14" i="18"/>
  <c r="N20" i="18"/>
  <c r="N59" i="18"/>
  <c r="R59" i="18" s="1"/>
  <c r="N204" i="18"/>
  <c r="R204" i="18" s="1"/>
  <c r="N170" i="18"/>
  <c r="R170" i="18" s="1"/>
  <c r="N31" i="18"/>
  <c r="R31" i="18" s="1"/>
  <c r="N136" i="18"/>
  <c r="R136" i="18" s="1"/>
  <c r="N67" i="18"/>
  <c r="R67" i="18" s="1"/>
  <c r="N200" i="18"/>
  <c r="R200" i="18" s="1"/>
  <c r="N131" i="18"/>
  <c r="R131" i="18" s="1"/>
  <c r="N95" i="18"/>
  <c r="R95" i="18" s="1"/>
  <c r="N72" i="18"/>
  <c r="R72" i="18" s="1"/>
  <c r="N147" i="18"/>
  <c r="R147" i="18" s="1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<sst xmlns="http://schemas.openxmlformats.org/spreadsheetml/2006/main" count="443" uniqueCount="107">
  <si>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</si>
  <si>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</si>
  <si>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</si>
  <si>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</si>
  <si>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</si>
  <si>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</si>
  <si>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</si>
  <si>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</si>
  <si>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</si>
  <si>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</si>
  <si>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</si>
  <si>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</si>
  <si>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</si>
  <si>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</si>
  <si>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</si>
  <si>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</si>
  <si>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</si>
  <si>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</si>
  <si>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</si>
  <si>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</si>
  <si>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</si>
  <si>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</si>
  <si>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</si>
  <si>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</si>
  <si>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</si>
  <si>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</si>
  <si>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</si>
  <si>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</si>
  <si>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</si>
  <si>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</si>
  <si>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</si>
  <si>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</si>
  <si>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</si>
  <si>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</si>
  <si>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</si>
  <si>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</si>
  <si>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</si>
  <si>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</si>
  <si>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</si>
  <si>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</si>
  <si>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</si>
  <si>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</si>
  <si>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</si>
  <si>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</si>
  <si>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</si>
  <si>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</si>
  <si>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</si>
  <si>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</si>
  <si>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</si>
  <si>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</si>
  <si>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</si>
  <si>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</si>
  <si>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</si>
  <si>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</si>
  <si>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</si>
  <si>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</si>
  <si>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</si>
  <si>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</si>
  <si>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</si>
  <si>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</si>
  <si>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</si>
  <si>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</si>
  <si>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</si>
  <si>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</si>
  <si>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</si>
  <si>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</si>
  <si>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</si>
  <si>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</si>
  <si>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</si>
  <si>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</si>
  <si>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</si>
  <si>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</si>
  <si>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</si>
  <si>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</si>
  <si>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</si>
  <si>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</si>
  <si>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</si>
  <si>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</si>
  <si>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</si>
  <si>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</si>
  <si>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</si>
  <si>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</si>
  <si>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</si>
  <si>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</si>
  <si>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</si>
  <si>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</si>
  <si>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</si>
  <si>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</si>
  <si>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</si>
  <si>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</si>
  <si>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</si>
  <si>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</si>
  <si>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</si>
  <si>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</si>
  <si>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</si>
  <si>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</si>
  <si>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 SOUTHWESTERN TRANSMISSION</t>
  </si>
  <si>
    <t xml:space="preserve">    &lt;&lt; SOUTHWESTERN TRANSMISSION COMPANY &gt;&gt;</t>
  </si>
  <si>
    <t>AEPTCo Formula Rate -- FERC Docket ER18-194</t>
  </si>
  <si>
    <t>Total</t>
  </si>
  <si>
    <t>OKT</t>
  </si>
  <si>
    <t>SWT</t>
  </si>
  <si>
    <t>2021 Formal Challenge Refund with Interest</t>
  </si>
  <si>
    <t>2023 True Up Including Interest</t>
  </si>
  <si>
    <t>2024</t>
  </si>
  <si>
    <t>20XX Load Share</t>
  </si>
  <si>
    <t>20XX NOLC Refund Amount with Interest (NITS)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</si>
</sst>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8" xfId="0" applyBorder="1" applyProtection="1"/>
    <xf numFmtId="0" fontId="9" fillId="3" borderId="19" xfId="0" quotePrefix="1" applyFont="1" applyFill="1" applyBorder="1" applyAlignment="1" applyProtection="1">
      <alignment horizontal="left" vertical="center" wrapText="1"/>
    </xf>
    <xf numFmtId="165" fontId="0" fillId="3" borderId="20" xfId="2" applyNumberFormat="1" applyFont="1" applyFill="1" applyBorder="1" applyAlignment="1" applyProtection="1">
      <alignment vertical="center"/>
    </xf>
    <xf numFmtId="165" fontId="0" fillId="3" borderId="21" xfId="2" applyNumberFormat="1" applyFont="1" applyFill="1" applyBorder="1" applyAlignment="1" applyProtection="1">
      <alignment vertical="center"/>
    </xf>
    <xf numFmtId="165" fontId="3" fillId="3" borderId="22" xfId="2" applyNumberFormat="1" applyFont="1" applyFill="1" applyBorder="1" applyAlignment="1" applyProtection="1">
      <alignment vertical="center"/>
    </xf>
    <xf numFmtId="0" fontId="0" fillId="0" borderId="23" xfId="0" quotePrefix="1" applyBorder="1" applyAlignment="1" applyProtection="1">
      <alignment horizontal="left"/>
    </xf>
    <xf numFmtId="0" fontId="0" fillId="0" borderId="24" xfId="0" applyBorder="1" applyProtection="1"/>
    <xf numFmtId="0" fontId="0" fillId="0" borderId="25" xfId="0" applyBorder="1" applyProtection="1"/>
    <xf numFmtId="0" fontId="9" fillId="0" borderId="19" xfId="0" quotePrefix="1" applyFont="1" applyFill="1" applyBorder="1" applyAlignment="1" applyProtection="1">
      <alignment horizontal="left" vertical="center" wrapText="1"/>
    </xf>
    <xf numFmtId="165" fontId="0" fillId="0" borderId="20" xfId="2" applyNumberFormat="1" applyFont="1" applyFill="1" applyBorder="1" applyAlignment="1" applyProtection="1">
      <alignment vertical="center"/>
    </xf>
    <xf numFmtId="165" fontId="0" fillId="0" borderId="21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6" xfId="2" applyNumberFormat="1" applyFont="1" applyBorder="1" applyAlignment="1" applyProtection="1">
      <alignment vertical="center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29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1" xfId="0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164" fontId="3" fillId="0" borderId="31" xfId="0" applyNumberFormat="1" applyFont="1" applyBorder="1" applyAlignment="1" applyProtection="1">
      <alignment horizontal="right"/>
    </xf>
    <xf numFmtId="167" fontId="0" fillId="0" borderId="21" xfId="0" applyNumberFormat="1" applyBorder="1" applyAlignment="1" applyProtection="1">
      <alignment horizontal="center"/>
    </xf>
    <xf numFmtId="167" fontId="0" fillId="4" borderId="31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0" xfId="0" quotePrefix="1" applyNumberFormat="1" applyFont="1" applyBorder="1" applyAlignment="1" applyProtection="1">
      <alignment horizontal="center" vertical="center" wrapText="1"/>
    </xf>
    <xf numFmtId="0" fontId="4" fillId="0" borderId="21" xfId="0" quotePrefix="1" applyFont="1" applyBorder="1" applyAlignment="1" applyProtection="1">
      <alignment horizontal="center" vertical="center" wrapText="1"/>
    </xf>
    <xf numFmtId="164" fontId="4" fillId="5" borderId="21" xfId="0" quotePrefix="1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4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24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7" fillId="6" borderId="31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1" xfId="0" quotePrefix="1" applyNumberFormat="1" applyFont="1" applyFill="1" applyBorder="1" applyAlignment="1" applyProtection="1">
      <alignment horizontal="center" vertical="center" wrapText="1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35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36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36" xfId="5" applyBorder="1"/>
    <xf numFmtId="0" fontId="1" fillId="0" borderId="37" xfId="5" applyBorder="1"/>
    <xf numFmtId="0" fontId="9" fillId="3" borderId="38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39" xfId="5" quotePrefix="1" applyBorder="1" applyAlignment="1">
      <alignment horizontal="left"/>
    </xf>
    <xf numFmtId="0" fontId="9" fillId="3" borderId="21" xfId="5" quotePrefix="1" applyFont="1" applyFill="1" applyBorder="1" applyAlignment="1">
      <alignment horizontal="left" vertical="center" wrapText="1"/>
    </xf>
    <xf numFmtId="37" fontId="9" fillId="3" borderId="21" xfId="5" quotePrefix="1" applyNumberFormat="1" applyFont="1" applyFill="1" applyBorder="1" applyAlignment="1">
      <alignment vertical="center" wrapText="1"/>
    </xf>
    <xf numFmtId="0" fontId="9" fillId="0" borderId="40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5" fillId="0" borderId="0" xfId="0" applyNumberFormat="1" applyFont="1" applyProtection="1"/>
    <xf numFmtId="0" fontId="0" fillId="0" borderId="0" xfId="0" applyAlignment="1">
      <alignment horizontal="center" wrapText="1"/>
    </xf>
    <xf numFmtId="0" fontId="0" fillId="0" borderId="41" xfId="0" applyBorder="1" applyProtection="1"/>
    <xf numFmtId="0" fontId="0" fillId="0" borderId="42" xfId="0" applyBorder="1" applyProtection="1"/>
    <xf numFmtId="0" fontId="0" fillId="0" borderId="41" xfId="0" pivotButton="1" applyBorder="1" applyProtection="1"/>
    <xf numFmtId="0" fontId="0" fillId="0" borderId="43" xfId="0" applyBorder="1" applyProtection="1"/>
    <xf numFmtId="17" fontId="0" fillId="0" borderId="41" xfId="0" applyNumberFormat="1" applyBorder="1" applyProtection="1"/>
    <xf numFmtId="17" fontId="0" fillId="0" borderId="44" xfId="0" applyNumberFormat="1" applyBorder="1" applyProtection="1"/>
    <xf numFmtId="17" fontId="0" fillId="0" borderId="45" xfId="0" applyNumberFormat="1" applyBorder="1" applyProtection="1"/>
    <xf numFmtId="166" fontId="0" fillId="0" borderId="41" xfId="0" applyNumberFormat="1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0" fontId="0" fillId="0" borderId="47" xfId="0" applyBorder="1" applyProtection="1"/>
    <xf numFmtId="166" fontId="25" fillId="0" borderId="47" xfId="0" applyNumberFormat="1" applyFont="1" applyBorder="1" applyProtection="1"/>
    <xf numFmtId="166" fontId="25" fillId="0" borderId="48" xfId="0" applyNumberFormat="1" applyFon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166" fontId="25" fillId="0" borderId="41" xfId="0" applyNumberFormat="1" applyFont="1" applyBorder="1" applyProtection="1"/>
    <xf numFmtId="166" fontId="25" fillId="0" borderId="44" xfId="0" applyNumberFormat="1" applyFont="1" applyBorder="1" applyProtection="1"/>
    <xf numFmtId="166" fontId="25" fillId="0" borderId="45" xfId="0" applyNumberFormat="1" applyFont="1" applyBorder="1" applyProtection="1"/>
    <xf numFmtId="0" fontId="0" fillId="0" borderId="49" xfId="0" applyBorder="1" applyProtection="1"/>
    <xf numFmtId="0" fontId="0" fillId="0" borderId="50" xfId="0" applyBorder="1" applyProtection="1"/>
    <xf numFmtId="166" fontId="0" fillId="0" borderId="49" xfId="0" applyNumberFormat="1" applyBorder="1" applyProtection="1"/>
    <xf numFmtId="166" fontId="0" fillId="0" borderId="51" xfId="0" applyNumberFormat="1" applyBorder="1" applyProtection="1"/>
    <xf numFmtId="166" fontId="0" fillId="0" borderId="52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2BD488E5-ADB3-4394-B391-B0BC59D2BF86}"/>
    <cellStyle name="Currency" xfId="2" builtinId="4"/>
    <cellStyle name="Normal" xfId="0" builtinId="0"/>
    <cellStyle name="Normal 2" xfId="3" xr:uid="{00000000-0005-0000-0000-000003000000}"/>
    <cellStyle name="Normal 3" xfId="5" xr:uid="{C74A3626-3191-48C4-979D-6AA009CBD37E}"/>
    <cellStyle name="Percent" xfId="4" builtinId="5"/>
    <cellStyle name="Percent 2" xfId="7" xr:uid="{390DDF91-C7B5-48DA-8924-F3DBD600758D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596821412037" createdVersion="6" refreshedVersion="8" recordCount="192" xr:uid="{00000000-000A-0000-FFFF-FFFFA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1.7695680965781104" maxValue="1.7695680965781104"/>
    </cacheField>
    <cacheField name="Actual True-Up Rate" numFmtId="164">
      <sharedItems containsSemiMixedTypes="0" containsString="0" containsNumber="1" minValue="0.49117878822913336" maxValue="0.49117878822913336"/>
    </cacheField>
    <cacheField name="True-Up Charge" numFmtId="164">
      <sharedItems containsSemiMixedTypes="0" containsString="0" containsNumber="1" minValue="0.49117878822913336" maxValue="2038.8831499391326"/>
    </cacheField>
    <cacheField name="Invoiced*** Charge (proj.)" numFmtId="164">
      <sharedItems containsSemiMixedTypes="0" containsString="0" containsNumber="1" minValue="1.7695680965781104" maxValue="7345.4771688957362"/>
    </cacheField>
    <cacheField name="True-Up w/o Interest" numFmtId="164">
      <sharedItems containsSemiMixedTypes="0" containsString="0" containsNumber="1" minValue="-5306.5940189566036" maxValue="-1.278389308348977"/>
    </cacheField>
    <cacheField name="Interest" numFmtId="164">
      <sharedItems containsSemiMixedTypes="0" containsString="0" containsNumber="1" minValue="-425.30908812772492" maxValue="-0.10245942860219824"/>
    </cacheField>
    <cacheField name="2023 True Up Including Interest" numFmtId="164">
      <sharedItems containsSemiMixedTypes="0" containsString="0" containsNumber="1" minValue="-5731.9031070843284" maxValue="-1.380848736951175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5731.9031070843284" maxValue="-1.38084873695117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1.7695680965781104"/>
    <n v="0.49117878822913336"/>
    <n v="1597.3134193211417"/>
    <n v="5754.6354500720154"/>
    <n v="-4157.3220307508736"/>
    <n v="-333.19806181434865"/>
    <n v="-4490.5200925652225"/>
    <n v="0"/>
    <n v="0"/>
    <n v="0"/>
    <n v="-4490.5200925652225"/>
  </r>
  <r>
    <x v="1"/>
    <d v="2024-03-05T00:00:00"/>
    <d v="2024-03-25T00:00:00"/>
    <x v="0"/>
    <n v="9"/>
    <n v="2338"/>
    <n v="1.7695680965781104"/>
    <n v="0.49117878822913336"/>
    <n v="1148.3760068797137"/>
    <n v="4137.2502097996221"/>
    <n v="-2988.8742029199084"/>
    <n v="-239.55014407193949"/>
    <n v="-3228.4243469918479"/>
    <n v="0"/>
    <n v="0"/>
    <n v="0"/>
    <n v="-3228.4243469918479"/>
  </r>
  <r>
    <x v="2"/>
    <d v="2024-04-03T00:00:00"/>
    <d v="2024-04-24T00:00:00"/>
    <x v="0"/>
    <n v="9"/>
    <n v="2216"/>
    <n v="1.7695680965781104"/>
    <n v="0.49117878822913336"/>
    <n v="1088.4521947157596"/>
    <n v="3921.3629020170929"/>
    <n v="-2832.9107073013333"/>
    <n v="-227.05009378247127"/>
    <n v="-3059.9608010838047"/>
    <n v="0"/>
    <n v="0"/>
    <n v="0"/>
    <n v="-3059.9608010838047"/>
  </r>
  <r>
    <x v="3"/>
    <d v="2024-05-03T00:00:00"/>
    <d v="2024-05-24T00:00:00"/>
    <x v="0"/>
    <n v="9"/>
    <n v="2777"/>
    <n v="1.7695680965781104"/>
    <n v="0.49117878822913336"/>
    <n v="1364.0034949123033"/>
    <n v="4914.0906041974131"/>
    <n v="-3550.0871092851098"/>
    <n v="-284.52983322830448"/>
    <n v="-3834.6169425134144"/>
    <n v="0"/>
    <n v="0"/>
    <n v="0"/>
    <n v="-3834.6169425134144"/>
  </r>
  <r>
    <x v="4"/>
    <d v="2024-06-05T00:00:00"/>
    <d v="2024-06-24T00:00:00"/>
    <x v="0"/>
    <n v="9"/>
    <n v="3245"/>
    <n v="1.7695680965781104"/>
    <n v="0.49117878822913336"/>
    <n v="1593.8751678035378"/>
    <n v="5742.2484733959682"/>
    <n v="-4148.3733055924304"/>
    <n v="-332.48084581413326"/>
    <n v="-4480.8541514065637"/>
    <n v="0"/>
    <n v="0"/>
    <n v="0"/>
    <n v="-4480.8541514065637"/>
  </r>
  <r>
    <x v="5"/>
    <d v="2024-07-03T00:00:00"/>
    <d v="2024-07-24T00:00:00"/>
    <x v="0"/>
    <n v="9"/>
    <n v="4080"/>
    <n v="1.7695680965781104"/>
    <n v="0.49117878822913336"/>
    <n v="2004.0094559748641"/>
    <n v="7219.8378340386907"/>
    <n v="-5215.8283780638267"/>
    <n v="-418.03446869696876"/>
    <n v="-5633.862846760795"/>
    <n v="0"/>
    <n v="0"/>
    <n v="0"/>
    <n v="-5633.862846760795"/>
  </r>
  <r>
    <x v="6"/>
    <d v="2024-08-05T00:00:00"/>
    <d v="2024-08-26T00:00:00"/>
    <x v="0"/>
    <n v="9"/>
    <n v="4149"/>
    <n v="1.7695680965781104"/>
    <n v="0.49117878822913336"/>
    <n v="2037.9007923626743"/>
    <n v="7341.9380327025801"/>
    <n v="-5304.037240339906"/>
    <n v="-425.10416927052046"/>
    <n v="-5729.1414096104263"/>
    <n v="0"/>
    <n v="0"/>
    <n v="0"/>
    <n v="-5729.1414096104263"/>
  </r>
  <r>
    <x v="7"/>
    <d v="2024-09-04T00:00:00"/>
    <d v="2024-09-24T00:00:00"/>
    <x v="0"/>
    <n v="9"/>
    <n v="4151"/>
    <n v="1.7695680965781104"/>
    <n v="0.49117878822913336"/>
    <n v="2038.8831499391326"/>
    <n v="7345.4771688957362"/>
    <n v="-5306.5940189566036"/>
    <n v="-425.30908812772492"/>
    <n v="-5731.9031070843284"/>
    <n v="0"/>
    <n v="0"/>
    <n v="0"/>
    <n v="-5731.9031070843284"/>
  </r>
  <r>
    <x v="8"/>
    <d v="2024-10-03T00:00:00"/>
    <d v="2024-10-24T00:00:00"/>
    <x v="0"/>
    <n v="9"/>
    <n v="3859"/>
    <n v="1.7695680965781104"/>
    <n v="0.49117878822913336"/>
    <n v="1895.4589437762256"/>
    <n v="6828.7632846949282"/>
    <n v="-4933.304340918703"/>
    <n v="-395.390934975883"/>
    <n v="-5328.6952758945863"/>
    <n v="0"/>
    <n v="0"/>
    <n v="0"/>
    <n v="-5328.6952758945863"/>
  </r>
  <r>
    <x v="9"/>
    <d v="2024-11-05T00:00:00"/>
    <d v="2024-11-25T00:00:00"/>
    <x v="0"/>
    <n v="9"/>
    <n v="3429"/>
    <n v="1.7695680965781104"/>
    <n v="0.49117878822913336"/>
    <n v="1684.2520648376983"/>
    <n v="6067.8490031663405"/>
    <n v="-4383.596938328642"/>
    <n v="-351.33338067693779"/>
    <n v="-4734.9303190055798"/>
    <n v="0"/>
    <n v="0"/>
    <n v="0"/>
    <n v="-4734.9303190055798"/>
  </r>
  <r>
    <x v="10"/>
    <d v="2024-12-04T00:00:00"/>
    <d v="2024-12-24T00:00:00"/>
    <x v="0"/>
    <n v="9"/>
    <n v="2220"/>
    <n v="1.7695680965781104"/>
    <n v="0.49117878822913336"/>
    <n v="1090.4169098686762"/>
    <n v="3928.4411744034051"/>
    <n v="-2838.0242645347289"/>
    <n v="-227.45993149688007"/>
    <n v="-3065.4841960316089"/>
    <n v="0"/>
    <n v="0"/>
    <n v="0"/>
    <n v="-3065.4841960316089"/>
  </r>
  <r>
    <x v="11"/>
    <d v="2025-01-03T00:00:00"/>
    <d v="2025-01-24T00:00:00"/>
    <x v="0"/>
    <n v="9"/>
    <n v="2569"/>
    <n v="1.7695680965781104"/>
    <n v="0.49117878822913336"/>
    <n v="1261.8383069606436"/>
    <n v="4546.020440109166"/>
    <n v="-3284.1821331485226"/>
    <n v="-263.21827207904727"/>
    <n v="-3547.40040522757"/>
    <n v="0"/>
    <n v="0"/>
    <n v="0"/>
    <n v="-3547.40040522757"/>
  </r>
  <r>
    <x v="0"/>
    <d v="2024-02-05T00:00:00"/>
    <d v="2024-02-26T00:00:00"/>
    <x v="1"/>
    <n v="9"/>
    <n v="3306"/>
    <n v="1.7695680965781104"/>
    <n v="0.49117878822913336"/>
    <n v="1623.8370738855149"/>
    <n v="5850.1921272872332"/>
    <n v="-4226.3550534017186"/>
    <n v="-338.7308709588674"/>
    <n v="-4565.0859243605864"/>
    <n v="0"/>
    <n v="0"/>
    <n v="0"/>
    <n v="-4565.0859243605864"/>
  </r>
  <r>
    <x v="1"/>
    <d v="2024-03-05T00:00:00"/>
    <d v="2024-03-25T00:00:00"/>
    <x v="1"/>
    <n v="9"/>
    <n v="2611"/>
    <n v="1.7695680965781104"/>
    <n v="0.49117878822913336"/>
    <n v="1282.4678160662672"/>
    <n v="4620.3423001654464"/>
    <n v="-3337.8744840991794"/>
    <n v="-267.52156808033959"/>
    <n v="-3605.3960521795188"/>
    <n v="0"/>
    <n v="0"/>
    <n v="0"/>
    <n v="-3605.3960521795188"/>
  </r>
  <r>
    <x v="2"/>
    <d v="2024-04-03T00:00:00"/>
    <d v="2024-04-24T00:00:00"/>
    <x v="1"/>
    <n v="9"/>
    <n v="2302"/>
    <n v="1.7695680965781104"/>
    <n v="0.49117878822913336"/>
    <n v="1130.693570503465"/>
    <n v="4073.5457583228103"/>
    <n v="-2942.8521878193451"/>
    <n v="-235.86160464226032"/>
    <n v="-3178.7137924616054"/>
    <n v="0"/>
    <n v="0"/>
    <n v="0"/>
    <n v="-3178.7137924616054"/>
  </r>
  <r>
    <x v="3"/>
    <d v="2024-05-03T00:00:00"/>
    <d v="2024-05-24T00:00:00"/>
    <x v="1"/>
    <n v="9"/>
    <n v="2486"/>
    <n v="1.7695680965781104"/>
    <n v="0.49117878822913336"/>
    <n v="1221.0704675376255"/>
    <n v="4399.1462880931822"/>
    <n v="-3178.0758205555567"/>
    <n v="-254.71413950506482"/>
    <n v="-3432.7899600606215"/>
    <n v="0"/>
    <n v="0"/>
    <n v="0"/>
    <n v="-3432.7899600606215"/>
  </r>
  <r>
    <x v="4"/>
    <d v="2024-06-05T00:00:00"/>
    <d v="2024-06-24T00:00:00"/>
    <x v="1"/>
    <n v="9"/>
    <n v="2970"/>
    <n v="1.7695680965781104"/>
    <n v="0.49117878822913336"/>
    <n v="1458.801001040526"/>
    <n v="5255.6172468369878"/>
    <n v="-3796.8162457964618"/>
    <n v="-304.30450294852875"/>
    <n v="-4101.1207487449901"/>
    <n v="0"/>
    <n v="0"/>
    <n v="0"/>
    <n v="-4101.1207487449901"/>
  </r>
  <r>
    <x v="5"/>
    <d v="2024-07-03T00:00:00"/>
    <d v="2024-07-24T00:00:00"/>
    <x v="1"/>
    <n v="9"/>
    <n v="3483"/>
    <n v="1.7695680965781104"/>
    <n v="0.49117878822913336"/>
    <n v="1710.7757194020714"/>
    <n v="6163.4056803815583"/>
    <n v="-4452.6299609794869"/>
    <n v="-356.86618982145643"/>
    <n v="-4809.4961508009437"/>
    <n v="0"/>
    <n v="0"/>
    <n v="0"/>
    <n v="-4809.4961508009437"/>
  </r>
  <r>
    <x v="6"/>
    <d v="2024-08-05T00:00:00"/>
    <d v="2024-08-26T00:00:00"/>
    <x v="1"/>
    <n v="9"/>
    <n v="3510"/>
    <n v="1.7695680965781104"/>
    <n v="0.49117878822913336"/>
    <n v="1724.0375466842581"/>
    <n v="6211.1840189891673"/>
    <n v="-4487.1464723049094"/>
    <n v="-359.63259439371581"/>
    <n v="-4846.7790666986248"/>
    <n v="0"/>
    <n v="0"/>
    <n v="0"/>
    <n v="-4846.7790666986248"/>
  </r>
  <r>
    <x v="7"/>
    <d v="2024-09-04T00:00:00"/>
    <d v="2024-09-24T00:00:00"/>
    <x v="1"/>
    <n v="9"/>
    <n v="3574"/>
    <n v="1.7695680965781104"/>
    <n v="0.49117878822913336"/>
    <n v="1755.4729891309225"/>
    <n v="6324.4363771701665"/>
    <n v="-4568.9633880392439"/>
    <n v="-366.18999782425647"/>
    <n v="-4935.1533858635003"/>
    <n v="0"/>
    <n v="0"/>
    <n v="0"/>
    <n v="-4935.1533858635003"/>
  </r>
  <r>
    <x v="8"/>
    <d v="2024-10-03T00:00:00"/>
    <d v="2024-10-24T00:00:00"/>
    <x v="1"/>
    <n v="9"/>
    <n v="3188"/>
    <n v="1.7695680965781104"/>
    <n v="0.49117878822913336"/>
    <n v="1565.8779768744771"/>
    <n v="5641.3830918910162"/>
    <n v="-4075.5051150165391"/>
    <n v="-326.64065838380793"/>
    <n v="-4402.145773400347"/>
    <n v="0"/>
    <n v="0"/>
    <n v="0"/>
    <n v="-4402.145773400347"/>
  </r>
  <r>
    <x v="9"/>
    <d v="2024-11-05T00:00:00"/>
    <d v="2024-11-25T00:00:00"/>
    <x v="1"/>
    <n v="9"/>
    <n v="2793"/>
    <n v="1.7695680965781104"/>
    <n v="0.49117878822913336"/>
    <n v="1371.8623555239694"/>
    <n v="4942.4036937426627"/>
    <n v="-3570.5413382186935"/>
    <n v="-286.16918408593966"/>
    <n v="-3856.7105223046333"/>
    <n v="0"/>
    <n v="0"/>
    <n v="0"/>
    <n v="-3856.7105223046333"/>
  </r>
  <r>
    <x v="10"/>
    <d v="2024-12-04T00:00:00"/>
    <d v="2024-12-24T00:00:00"/>
    <x v="1"/>
    <n v="9"/>
    <n v="2339"/>
    <n v="1.7695680965781104"/>
    <n v="0.49117878822913336"/>
    <n v="1148.867185667943"/>
    <n v="4139.0197778962001"/>
    <n v="-2990.1525922282572"/>
    <n v="-239.65260350054166"/>
    <n v="-3229.8051957287989"/>
    <n v="0"/>
    <n v="0"/>
    <n v="0"/>
    <n v="-3229.8051957287989"/>
  </r>
  <r>
    <x v="11"/>
    <d v="2025-01-03T00:00:00"/>
    <d v="2025-01-24T00:00:00"/>
    <x v="1"/>
    <n v="9"/>
    <n v="2520"/>
    <n v="1.7695680965781104"/>
    <n v="0.49117878822913336"/>
    <n v="1237.7705463374161"/>
    <n v="4459.3116033768383"/>
    <n v="-3221.5410570394224"/>
    <n v="-258.19776007753956"/>
    <n v="-3479.7388171169619"/>
    <n v="0"/>
    <n v="0"/>
    <n v="0"/>
    <n v="-3479.7388171169619"/>
  </r>
  <r>
    <x v="0"/>
    <d v="2024-02-05T00:00:00"/>
    <d v="2024-02-26T00:00:00"/>
    <x v="2"/>
    <n v="9"/>
    <n v="216"/>
    <n v="1.7695680965781104"/>
    <n v="0.49117878822913336"/>
    <n v="106.09461825749281"/>
    <n v="382.22670886087184"/>
    <n v="-276.13209060337903"/>
    <n v="-22.131236578074819"/>
    <n v="-298.26332718145386"/>
    <n v="0"/>
    <n v="0"/>
    <n v="0"/>
    <n v="-298.26332718145386"/>
  </r>
  <r>
    <x v="1"/>
    <d v="2024-03-05T00:00:00"/>
    <d v="2024-03-25T00:00:00"/>
    <x v="2"/>
    <n v="9"/>
    <n v="146"/>
    <n v="1.7695680965781104"/>
    <n v="0.49117878822913336"/>
    <n v="71.712103081453463"/>
    <n v="258.35694210040413"/>
    <n v="-186.64483901895068"/>
    <n v="-14.959076575920941"/>
    <n v="-201.60391559487161"/>
    <n v="0"/>
    <n v="0"/>
    <n v="0"/>
    <n v="-201.60391559487161"/>
  </r>
  <r>
    <x v="2"/>
    <d v="2024-04-03T00:00:00"/>
    <d v="2024-04-24T00:00:00"/>
    <x v="2"/>
    <n v="9"/>
    <n v="113"/>
    <n v="1.7695680965781104"/>
    <n v="0.49117878822913336"/>
    <n v="55.503203069892066"/>
    <n v="199.96119491332647"/>
    <n v="-144.4579918434344"/>
    <n v="-11.5779154320484"/>
    <n v="-156.0359072754828"/>
    <n v="0"/>
    <n v="0"/>
    <n v="0"/>
    <n v="-156.0359072754828"/>
  </r>
  <r>
    <x v="3"/>
    <d v="2024-05-03T00:00:00"/>
    <d v="2024-05-24T00:00:00"/>
    <x v="2"/>
    <n v="9"/>
    <n v="76"/>
    <n v="1.7695680965781104"/>
    <n v="0.49117878822913336"/>
    <n v="37.329587905414137"/>
    <n v="134.48717533993639"/>
    <n v="-97.157587434522242"/>
    <n v="-7.7869165737670665"/>
    <n v="-104.94450400828931"/>
    <n v="0"/>
    <n v="0"/>
    <n v="0"/>
    <n v="-104.94450400828931"/>
  </r>
  <r>
    <x v="4"/>
    <d v="2024-06-05T00:00:00"/>
    <d v="2024-06-24T00:00:00"/>
    <x v="2"/>
    <n v="9"/>
    <n v="120"/>
    <n v="1.7695680965781104"/>
    <n v="0.49117878822913336"/>
    <n v="58.941454587496004"/>
    <n v="212.34817158937324"/>
    <n v="-153.40671700187724"/>
    <n v="-12.295131432263789"/>
    <n v="-165.70184843414103"/>
    <n v="0"/>
    <n v="0"/>
    <n v="0"/>
    <n v="-165.70184843414103"/>
  </r>
  <r>
    <x v="5"/>
    <d v="2024-07-03T00:00:00"/>
    <d v="2024-07-24T00:00:00"/>
    <x v="2"/>
    <n v="9"/>
    <n v="147"/>
    <n v="1.7695680965781104"/>
    <n v="0.49117878822913336"/>
    <n v="72.203281869682598"/>
    <n v="260.12651019698222"/>
    <n v="-187.92322832729963"/>
    <n v="-15.061536004523141"/>
    <n v="-202.98476433182276"/>
    <n v="0"/>
    <n v="0"/>
    <n v="0"/>
    <n v="-202.98476433182276"/>
  </r>
  <r>
    <x v="6"/>
    <d v="2024-08-05T00:00:00"/>
    <d v="2024-08-26T00:00:00"/>
    <x v="2"/>
    <n v="9"/>
    <n v="155"/>
    <n v="1.7695680965781104"/>
    <n v="0.49117878822913336"/>
    <n v="76.132712175515664"/>
    <n v="274.28305496960712"/>
    <n v="-198.15034279409144"/>
    <n v="-15.881211433340727"/>
    <n v="-214.03155422743217"/>
    <n v="0"/>
    <n v="0"/>
    <n v="0"/>
    <n v="-214.03155422743217"/>
  </r>
  <r>
    <x v="7"/>
    <d v="2024-09-04T00:00:00"/>
    <d v="2024-09-24T00:00:00"/>
    <x v="2"/>
    <n v="9"/>
    <n v="157"/>
    <n v="1.7695680965781104"/>
    <n v="0.49117878822913336"/>
    <n v="77.115069751973934"/>
    <n v="277.82219116276332"/>
    <n v="-200.7071214107894"/>
    <n v="-16.086130290545121"/>
    <n v="-216.79325170133453"/>
    <n v="0"/>
    <n v="0"/>
    <n v="0"/>
    <n v="-216.79325170133453"/>
  </r>
  <r>
    <x v="8"/>
    <d v="2024-10-03T00:00:00"/>
    <d v="2024-10-24T00:00:00"/>
    <x v="2"/>
    <n v="9"/>
    <n v="126"/>
    <n v="1.7695680965781104"/>
    <n v="0.49117878822913336"/>
    <n v="61.8885273168708"/>
    <n v="222.96558016884191"/>
    <n v="-161.0770528519711"/>
    <n v="-12.909888003876977"/>
    <n v="-173.98694085584808"/>
    <n v="0"/>
    <n v="0"/>
    <n v="0"/>
    <n v="-173.98694085584808"/>
  </r>
  <r>
    <x v="9"/>
    <d v="2024-11-05T00:00:00"/>
    <d v="2024-11-25T00:00:00"/>
    <x v="2"/>
    <n v="9"/>
    <n v="112"/>
    <n v="1.7695680965781104"/>
    <n v="0.49117878822913336"/>
    <n v="55.012024281662939"/>
    <n v="198.19162681674837"/>
    <n v="-143.17960253508542"/>
    <n v="-11.475456003446203"/>
    <n v="-154.65505853853162"/>
    <n v="0"/>
    <n v="0"/>
    <n v="0"/>
    <n v="-154.65505853853162"/>
  </r>
  <r>
    <x v="10"/>
    <d v="2024-12-04T00:00:00"/>
    <d v="2024-12-24T00:00:00"/>
    <x v="2"/>
    <n v="9"/>
    <n v="93"/>
    <n v="1.7695680965781104"/>
    <n v="0.49117878822913336"/>
    <n v="45.679627305309403"/>
    <n v="164.56983298176428"/>
    <n v="-118.89020567645488"/>
    <n v="-9.5287268600044364"/>
    <n v="-128.41893253645932"/>
    <n v="0"/>
    <n v="0"/>
    <n v="0"/>
    <n v="-128.41893253645932"/>
  </r>
  <r>
    <x v="11"/>
    <d v="2025-01-03T00:00:00"/>
    <d v="2025-01-24T00:00:00"/>
    <x v="2"/>
    <n v="9"/>
    <n v="128"/>
    <n v="1.7695680965781104"/>
    <n v="0.49117878822913336"/>
    <n v="62.87088489332907"/>
    <n v="226.50471636199813"/>
    <n v="-163.63383146866906"/>
    <n v="-13.114806861081375"/>
    <n v="-176.74863832975043"/>
    <n v="0"/>
    <n v="0"/>
    <n v="0"/>
    <n v="-176.74863832975043"/>
  </r>
  <r>
    <x v="0"/>
    <d v="2024-02-05T00:00:00"/>
    <d v="2024-02-26T00:00:00"/>
    <x v="3"/>
    <n v="9"/>
    <n v="1129"/>
    <n v="1.7695680965781104"/>
    <n v="0.49117878822913336"/>
    <n v="554.54085191069157"/>
    <n v="1997.8423810366867"/>
    <n v="-1443.3015291259951"/>
    <n v="-115.67669489188181"/>
    <n v="-1558.978224017877"/>
    <n v="0"/>
    <n v="0"/>
    <n v="0"/>
    <n v="-1558.978224017877"/>
  </r>
  <r>
    <x v="1"/>
    <d v="2024-03-05T00:00:00"/>
    <d v="2024-03-25T00:00:00"/>
    <x v="3"/>
    <n v="9"/>
    <n v="739"/>
    <n v="1.7695680965781104"/>
    <n v="0.49117878822913336"/>
    <n v="362.98112450132953"/>
    <n v="1307.7108233712236"/>
    <n v="-944.72969886989404"/>
    <n v="-75.717517737024494"/>
    <n v="-1020.4472166069186"/>
    <n v="0"/>
    <n v="0"/>
    <n v="0"/>
    <n v="-1020.4472166069186"/>
  </r>
  <r>
    <x v="2"/>
    <d v="2024-04-03T00:00:00"/>
    <d v="2024-04-24T00:00:00"/>
    <x v="3"/>
    <n v="9"/>
    <n v="642"/>
    <n v="1.7695680965781104"/>
    <n v="0.49117878822913336"/>
    <n v="315.3367820431036"/>
    <n v="1136.062718003147"/>
    <n v="-820.72593596004344"/>
    <n v="-65.778953162611259"/>
    <n v="-886.50488912265473"/>
    <n v="0"/>
    <n v="0"/>
    <n v="0"/>
    <n v="-886.50488912265473"/>
  </r>
  <r>
    <x v="3"/>
    <d v="2024-05-03T00:00:00"/>
    <d v="2024-05-24T00:00:00"/>
    <x v="3"/>
    <n v="9"/>
    <n v="581"/>
    <n v="1.7695680965781104"/>
    <n v="0.49117878822913336"/>
    <n v="285.37487596112646"/>
    <n v="1028.1190641118822"/>
    <n v="-742.74418815075569"/>
    <n v="-59.528928017877178"/>
    <n v="-802.2731161686329"/>
    <n v="0"/>
    <n v="0"/>
    <n v="0"/>
    <n v="-802.2731161686329"/>
  </r>
  <r>
    <x v="4"/>
    <d v="2024-06-05T00:00:00"/>
    <d v="2024-06-24T00:00:00"/>
    <x v="3"/>
    <n v="9"/>
    <n v="753"/>
    <n v="1.7695680965781104"/>
    <n v="0.49117878822913336"/>
    <n v="369.85762753653739"/>
    <n v="1332.4847767233171"/>
    <n v="-962.62714918677966"/>
    <n v="-77.151949737455269"/>
    <n v="-1039.7790989242349"/>
    <n v="0"/>
    <n v="0"/>
    <n v="0"/>
    <n v="-1039.7790989242349"/>
  </r>
  <r>
    <x v="5"/>
    <d v="2024-07-03T00:00:00"/>
    <d v="2024-07-24T00:00:00"/>
    <x v="3"/>
    <n v="9"/>
    <n v="1001"/>
    <n v="1.7695680965781104"/>
    <n v="0.49117878822913336"/>
    <n v="491.66996701736247"/>
    <n v="1771.3376646746885"/>
    <n v="-1279.667697657326"/>
    <n v="-102.56188803080043"/>
    <n v="-1382.2295856881265"/>
    <n v="0"/>
    <n v="0"/>
    <n v="0"/>
    <n v="-1382.2295856881265"/>
  </r>
  <r>
    <x v="6"/>
    <d v="2024-08-05T00:00:00"/>
    <d v="2024-08-26T00:00:00"/>
    <x v="3"/>
    <n v="9"/>
    <n v="961"/>
    <n v="1.7695680965781104"/>
    <n v="0.49117878822913336"/>
    <n v="472.02281548819718"/>
    <n v="1700.5549408115642"/>
    <n v="-1228.5321253233669"/>
    <n v="-98.463510886712498"/>
    <n v="-1326.9956362100795"/>
    <n v="0"/>
    <n v="0"/>
    <n v="0"/>
    <n v="-1326.9956362100795"/>
  </r>
  <r>
    <x v="7"/>
    <d v="2024-09-04T00:00:00"/>
    <d v="2024-09-24T00:00:00"/>
    <x v="3"/>
    <n v="9"/>
    <n v="1017"/>
    <n v="1.7695680965781104"/>
    <n v="0.49117878822913336"/>
    <n v="499.52882762902863"/>
    <n v="1799.6507542199383"/>
    <n v="-1300.1219265909097"/>
    <n v="-104.20123888843561"/>
    <n v="-1404.3231654793453"/>
    <n v="0"/>
    <n v="0"/>
    <n v="0"/>
    <n v="-1404.3231654793453"/>
  </r>
  <r>
    <x v="8"/>
    <d v="2024-10-03T00:00:00"/>
    <d v="2024-10-24T00:00:00"/>
    <x v="3"/>
    <n v="9"/>
    <n v="856"/>
    <n v="1.7695680965781104"/>
    <n v="0.49117878822913336"/>
    <n v="420.44904272413817"/>
    <n v="1514.7502906708626"/>
    <n v="-1094.3012479467243"/>
    <n v="-87.705270883481688"/>
    <n v="-1182.006518830206"/>
    <n v="0"/>
    <n v="0"/>
    <n v="0"/>
    <n v="-1182.006518830206"/>
  </r>
  <r>
    <x v="9"/>
    <d v="2024-11-05T00:00:00"/>
    <d v="2024-11-25T00:00:00"/>
    <x v="3"/>
    <n v="9"/>
    <n v="786"/>
    <n v="1.7695680965781104"/>
    <n v="0.49117878822913336"/>
    <n v="386.0665275480988"/>
    <n v="1390.8805239103947"/>
    <n v="-1004.8139963622959"/>
    <n v="-80.533110881327815"/>
    <n v="-1085.3471072436237"/>
    <n v="0"/>
    <n v="0"/>
    <n v="0"/>
    <n v="-1085.3471072436237"/>
  </r>
  <r>
    <x v="10"/>
    <d v="2024-12-04T00:00:00"/>
    <d v="2024-12-24T00:00:00"/>
    <x v="3"/>
    <n v="9"/>
    <n v="463"/>
    <n v="1.7695680965781104"/>
    <n v="0.49117878822913336"/>
    <n v="227.41577895008874"/>
    <n v="819.31002871566511"/>
    <n v="-591.89424976557643"/>
    <n v="-47.438715442817788"/>
    <n v="-639.33296520839417"/>
    <n v="0"/>
    <n v="0"/>
    <n v="0"/>
    <n v="-639.33296520839417"/>
  </r>
  <r>
    <x v="11"/>
    <d v="2025-01-03T00:00:00"/>
    <d v="2025-01-24T00:00:00"/>
    <x v="3"/>
    <n v="9"/>
    <n v="725"/>
    <n v="1.7695680965781104"/>
    <n v="0.49117878822913336"/>
    <n v="356.10462146612167"/>
    <n v="1282.9368700191301"/>
    <n v="-926.83224855300841"/>
    <n v="-74.283085736593719"/>
    <n v="-1001.1153342896022"/>
    <n v="0"/>
    <n v="0"/>
    <n v="0"/>
    <n v="-1001.1153342896022"/>
  </r>
  <r>
    <x v="0"/>
    <d v="2024-02-05T00:00:00"/>
    <d v="2024-02-26T00:00:00"/>
    <x v="4"/>
    <n v="9"/>
    <n v="58"/>
    <n v="1.7695680965781104"/>
    <n v="0.49117878822913336"/>
    <n v="28.488369717289736"/>
    <n v="102.63494960153041"/>
    <n v="-74.14657988424068"/>
    <n v="-5.942646858927497"/>
    <n v="-80.089226743168183"/>
    <n v="0"/>
    <n v="0"/>
    <n v="0"/>
    <n v="-80.089226743168183"/>
  </r>
  <r>
    <x v="1"/>
    <d v="2024-03-05T00:00:00"/>
    <d v="2024-03-25T00:00:00"/>
    <x v="4"/>
    <n v="9"/>
    <n v="36"/>
    <n v="1.7695680965781104"/>
    <n v="0.49117878822913336"/>
    <n v="17.682436376248802"/>
    <n v="63.704451476811975"/>
    <n v="-46.022015100563173"/>
    <n v="-3.6885394296791367"/>
    <n v="-49.710554530242312"/>
    <n v="0"/>
    <n v="0"/>
    <n v="0"/>
    <n v="-49.710554530242312"/>
  </r>
  <r>
    <x v="2"/>
    <d v="2024-04-03T00:00:00"/>
    <d v="2024-04-24T00:00:00"/>
    <x v="4"/>
    <n v="9"/>
    <n v="29"/>
    <n v="1.7695680965781104"/>
    <n v="0.49117878822913336"/>
    <n v="14.244184858644868"/>
    <n v="51.317474800765204"/>
    <n v="-37.07328994212034"/>
    <n v="-2.9713234294637485"/>
    <n v="-40.044613371584092"/>
    <n v="0"/>
    <n v="0"/>
    <n v="0"/>
    <n v="-40.044613371584092"/>
  </r>
  <r>
    <x v="3"/>
    <d v="2024-05-03T00:00:00"/>
    <d v="2024-05-24T00:00:00"/>
    <x v="4"/>
    <n v="9"/>
    <n v="27"/>
    <n v="1.7695680965781104"/>
    <n v="0.49117878822913336"/>
    <n v="13.261827282186601"/>
    <n v="47.77833860760898"/>
    <n v="-34.516511325422378"/>
    <n v="-2.7664045722593524"/>
    <n v="-37.282915897681733"/>
    <n v="0"/>
    <n v="0"/>
    <n v="0"/>
    <n v="-37.282915897681733"/>
  </r>
  <r>
    <x v="4"/>
    <d v="2024-06-05T00:00:00"/>
    <d v="2024-06-24T00:00:00"/>
    <x v="4"/>
    <n v="9"/>
    <n v="36"/>
    <n v="1.7695680965781104"/>
    <n v="0.49117878822913336"/>
    <n v="17.682436376248802"/>
    <n v="63.704451476811975"/>
    <n v="-46.022015100563173"/>
    <n v="-3.6885394296791367"/>
    <n v="-49.710554530242312"/>
    <n v="0"/>
    <n v="0"/>
    <n v="0"/>
    <n v="-49.710554530242312"/>
  </r>
  <r>
    <x v="5"/>
    <d v="2024-07-03T00:00:00"/>
    <d v="2024-07-24T00:00:00"/>
    <x v="4"/>
    <n v="9"/>
    <n v="53"/>
    <n v="1.7695680965781104"/>
    <n v="0.49117878822913336"/>
    <n v="26.032475776144068"/>
    <n v="93.787109118639847"/>
    <n v="-67.754633342495779"/>
    <n v="-5.4303497159165071"/>
    <n v="-73.184983058412286"/>
    <n v="0"/>
    <n v="0"/>
    <n v="0"/>
    <n v="-73.184983058412286"/>
  </r>
  <r>
    <x v="6"/>
    <d v="2024-08-05T00:00:00"/>
    <d v="2024-08-26T00:00:00"/>
    <x v="4"/>
    <n v="9"/>
    <n v="53"/>
    <n v="1.7695680965781104"/>
    <n v="0.49117878822913336"/>
    <n v="26.032475776144068"/>
    <n v="93.787109118639847"/>
    <n v="-67.754633342495779"/>
    <n v="-5.4303497159165071"/>
    <n v="-73.184983058412286"/>
    <n v="0"/>
    <n v="0"/>
    <n v="0"/>
    <n v="-73.184983058412286"/>
  </r>
  <r>
    <x v="7"/>
    <d v="2024-09-04T00:00:00"/>
    <d v="2024-09-24T00:00:00"/>
    <x v="4"/>
    <n v="9"/>
    <n v="54"/>
    <n v="1.7695680965781104"/>
    <n v="0.49117878822913336"/>
    <n v="26.523654564373203"/>
    <n v="95.55667721521796"/>
    <n v="-69.033022650844757"/>
    <n v="-5.5328091445187049"/>
    <n v="-74.565831795363465"/>
    <n v="0"/>
    <n v="0"/>
    <n v="0"/>
    <n v="-74.565831795363465"/>
  </r>
  <r>
    <x v="8"/>
    <d v="2024-10-03T00:00:00"/>
    <d v="2024-10-24T00:00:00"/>
    <x v="4"/>
    <n v="9"/>
    <n v="48"/>
    <n v="1.7695680965781104"/>
    <n v="0.49117878822913336"/>
    <n v="23.5765818349984"/>
    <n v="84.939268635749301"/>
    <n v="-61.3626868007509"/>
    <n v="-4.9180525729055153"/>
    <n v="-66.280739373656417"/>
    <n v="0"/>
    <n v="0"/>
    <n v="0"/>
    <n v="-66.280739373656417"/>
  </r>
  <r>
    <x v="9"/>
    <d v="2024-11-05T00:00:00"/>
    <d v="2024-11-25T00:00:00"/>
    <x v="4"/>
    <n v="9"/>
    <n v="41"/>
    <n v="1.7695680965781104"/>
    <n v="0.49117878822913336"/>
    <n v="20.138330317394466"/>
    <n v="72.552291959702529"/>
    <n v="-52.413961642308067"/>
    <n v="-4.200836572690128"/>
    <n v="-56.614798214998196"/>
    <n v="0"/>
    <n v="0"/>
    <n v="0"/>
    <n v="-56.614798214998196"/>
  </r>
  <r>
    <x v="10"/>
    <d v="2024-12-04T00:00:00"/>
    <d v="2024-12-24T00:00:00"/>
    <x v="4"/>
    <n v="9"/>
    <n v="22"/>
    <n v="1.7695680965781104"/>
    <n v="0.49117878822913336"/>
    <n v="10.805933341040934"/>
    <n v="38.930498124718426"/>
    <n v="-28.124564783677492"/>
    <n v="-2.2541074292483612"/>
    <n v="-30.378672212925853"/>
    <n v="0"/>
    <n v="0"/>
    <n v="0"/>
    <n v="-30.378672212925853"/>
  </r>
  <r>
    <x v="11"/>
    <d v="2025-01-03T00:00:00"/>
    <d v="2025-01-24T00:00:00"/>
    <x v="4"/>
    <n v="9"/>
    <n v="37"/>
    <n v="1.7695680965781104"/>
    <n v="0.49117878822913336"/>
    <n v="18.173615164477933"/>
    <n v="65.47401957339008"/>
    <n v="-47.300404408912144"/>
    <n v="-3.7909988582813345"/>
    <n v="-51.091403267193478"/>
    <n v="0"/>
    <n v="0"/>
    <n v="0"/>
    <n v="-51.091403267193478"/>
  </r>
  <r>
    <x v="0"/>
    <d v="2024-02-05T00:00:00"/>
    <d v="2024-02-26T00:00:00"/>
    <x v="5"/>
    <n v="9"/>
    <n v="75"/>
    <n v="1.7695680965781104"/>
    <n v="0.49117878822913336"/>
    <n v="36.838409117185002"/>
    <n v="132.71760724335829"/>
    <n v="-95.879198126173293"/>
    <n v="-7.6844571451648678"/>
    <n v="-103.56365527133816"/>
    <n v="0"/>
    <n v="0"/>
    <n v="0"/>
    <n v="-103.56365527133816"/>
  </r>
  <r>
    <x v="1"/>
    <d v="2024-03-05T00:00:00"/>
    <d v="2024-03-25T00:00:00"/>
    <x v="5"/>
    <n v="9"/>
    <n v="54"/>
    <n v="1.7695680965781104"/>
    <n v="0.49117878822913336"/>
    <n v="26.523654564373203"/>
    <n v="95.55667721521796"/>
    <n v="-69.033022650844757"/>
    <n v="-5.5328091445187049"/>
    <n v="-74.565831795363465"/>
    <n v="0"/>
    <n v="0"/>
    <n v="0"/>
    <n v="-74.565831795363465"/>
  </r>
  <r>
    <x v="2"/>
    <d v="2024-04-03T00:00:00"/>
    <d v="2024-04-24T00:00:00"/>
    <x v="5"/>
    <n v="9"/>
    <n v="49"/>
    <n v="1.7695680965781104"/>
    <n v="0.49117878822913336"/>
    <n v="24.067760623227535"/>
    <n v="86.708836732327413"/>
    <n v="-62.641076109099878"/>
    <n v="-5.020512001507714"/>
    <n v="-67.661588110607596"/>
    <n v="0"/>
    <n v="0"/>
    <n v="0"/>
    <n v="-67.661588110607596"/>
  </r>
  <r>
    <x v="3"/>
    <d v="2024-05-03T00:00:00"/>
    <d v="2024-05-24T00:00:00"/>
    <x v="5"/>
    <n v="9"/>
    <n v="43"/>
    <n v="1.7695680965781104"/>
    <n v="0.49117878822913336"/>
    <n v="21.120687893852736"/>
    <n v="76.091428152858754"/>
    <n v="-54.970740259006021"/>
    <n v="-4.4057554298945245"/>
    <n v="-59.376495688900548"/>
    <n v="0"/>
    <n v="0"/>
    <n v="0"/>
    <n v="-59.376495688900548"/>
  </r>
  <r>
    <x v="4"/>
    <d v="2024-06-05T00:00:00"/>
    <d v="2024-06-24T00:00:00"/>
    <x v="5"/>
    <n v="9"/>
    <n v="50"/>
    <n v="1.7695680965781104"/>
    <n v="0.49117878822913336"/>
    <n v="24.558939411456667"/>
    <n v="88.478404828905525"/>
    <n v="-63.919465417448862"/>
    <n v="-5.1229714301099119"/>
    <n v="-69.042436847558776"/>
    <n v="0"/>
    <n v="0"/>
    <n v="0"/>
    <n v="-69.042436847558776"/>
  </r>
  <r>
    <x v="5"/>
    <d v="2024-07-03T00:00:00"/>
    <d v="2024-07-24T00:00:00"/>
    <x v="5"/>
    <n v="9"/>
    <n v="59"/>
    <n v="1.7695680965781104"/>
    <n v="0.49117878822913336"/>
    <n v="28.979548505518867"/>
    <n v="104.40451769810852"/>
    <n v="-75.424969192589657"/>
    <n v="-6.0451062875296957"/>
    <n v="-81.470075480119348"/>
    <n v="0"/>
    <n v="0"/>
    <n v="0"/>
    <n v="-81.470075480119348"/>
  </r>
  <r>
    <x v="6"/>
    <d v="2024-08-05T00:00:00"/>
    <d v="2024-08-26T00:00:00"/>
    <x v="5"/>
    <n v="9"/>
    <n v="60"/>
    <n v="1.7695680965781104"/>
    <n v="0.49117878822913336"/>
    <n v="29.470727293748002"/>
    <n v="106.17408579468662"/>
    <n v="-76.70335850093862"/>
    <n v="-6.1475657161318944"/>
    <n v="-82.850924217070514"/>
    <n v="0"/>
    <n v="0"/>
    <n v="0"/>
    <n v="-82.850924217070514"/>
  </r>
  <r>
    <x v="7"/>
    <d v="2024-09-04T00:00:00"/>
    <d v="2024-09-24T00:00:00"/>
    <x v="5"/>
    <n v="9"/>
    <n v="56"/>
    <n v="1.7695680965781104"/>
    <n v="0.49117878822913336"/>
    <n v="27.506012140831469"/>
    <n v="99.095813408374184"/>
    <n v="-71.589801267542711"/>
    <n v="-5.7377280017231014"/>
    <n v="-77.32752926926581"/>
    <n v="0"/>
    <n v="0"/>
    <n v="0"/>
    <n v="-77.32752926926581"/>
  </r>
  <r>
    <x v="8"/>
    <d v="2024-10-03T00:00:00"/>
    <d v="2024-10-24T00:00:00"/>
    <x v="5"/>
    <n v="9"/>
    <n v="55"/>
    <n v="1.7695680965781104"/>
    <n v="0.49117878822913336"/>
    <n v="27.014833352602334"/>
    <n v="97.326245311796072"/>
    <n v="-70.311411959193734"/>
    <n v="-5.6352685731209027"/>
    <n v="-75.94668053231463"/>
    <n v="0"/>
    <n v="0"/>
    <n v="0"/>
    <n v="-75.94668053231463"/>
  </r>
  <r>
    <x v="9"/>
    <d v="2024-11-05T00:00:00"/>
    <d v="2024-11-25T00:00:00"/>
    <x v="5"/>
    <n v="9"/>
    <n v="51"/>
    <n v="1.7695680965781104"/>
    <n v="0.49117878822913336"/>
    <n v="25.050118199685802"/>
    <n v="90.247972925483637"/>
    <n v="-65.197854725797839"/>
    <n v="-5.2254308587121097"/>
    <n v="-70.423285584509955"/>
    <n v="0"/>
    <n v="0"/>
    <n v="0"/>
    <n v="-70.423285584509955"/>
  </r>
  <r>
    <x v="10"/>
    <d v="2024-12-04T00:00:00"/>
    <d v="2024-12-24T00:00:00"/>
    <x v="5"/>
    <n v="9"/>
    <n v="40"/>
    <n v="1.7695680965781104"/>
    <n v="0.49117878822913336"/>
    <n v="19.647151529165335"/>
    <n v="70.782723863124417"/>
    <n v="-51.135572333959082"/>
    <n v="-4.0983771440879293"/>
    <n v="-55.233949478047009"/>
    <n v="0"/>
    <n v="0"/>
    <n v="0"/>
    <n v="-55.233949478047009"/>
  </r>
  <r>
    <x v="11"/>
    <d v="2025-01-03T00:00:00"/>
    <d v="2025-01-24T00:00:00"/>
    <x v="5"/>
    <n v="9"/>
    <n v="51"/>
    <n v="1.7695680965781104"/>
    <n v="0.49117878822913336"/>
    <n v="25.050118199685802"/>
    <n v="90.247972925483637"/>
    <n v="-65.197854725797839"/>
    <n v="-5.2254308587121097"/>
    <n v="-70.423285584509955"/>
    <n v="0"/>
    <n v="0"/>
    <n v="0"/>
    <n v="-70.423285584509955"/>
  </r>
  <r>
    <x v="0"/>
    <d v="2024-02-05T00:00:00"/>
    <d v="2024-02-26T00:00:00"/>
    <x v="6"/>
    <n v="9"/>
    <n v="94"/>
    <n v="1.7695680965781104"/>
    <n v="0.49117878822913336"/>
    <n v="46.170806093538538"/>
    <n v="166.33940107834238"/>
    <n v="-120.16859498480383"/>
    <n v="-9.6311862886066351"/>
    <n v="-129.79978127341047"/>
    <n v="0"/>
    <n v="0"/>
    <n v="0"/>
    <n v="-129.79978127341047"/>
  </r>
  <r>
    <x v="1"/>
    <d v="2024-03-05T00:00:00"/>
    <d v="2024-03-25T00:00:00"/>
    <x v="6"/>
    <n v="9"/>
    <n v="62"/>
    <n v="1.7695680965781104"/>
    <n v="0.49117878822913336"/>
    <n v="30.453084870206268"/>
    <n v="109.71322198784284"/>
    <n v="-79.260137117636575"/>
    <n v="-6.35248457333629"/>
    <n v="-85.612621690972858"/>
    <n v="0"/>
    <n v="0"/>
    <n v="0"/>
    <n v="-85.612621690972858"/>
  </r>
  <r>
    <x v="2"/>
    <d v="2024-04-03T00:00:00"/>
    <d v="2024-04-24T00:00:00"/>
    <x v="6"/>
    <n v="9"/>
    <n v="60"/>
    <n v="1.7695680965781104"/>
    <n v="0.49117878822913336"/>
    <n v="29.470727293748002"/>
    <n v="106.17408579468662"/>
    <n v="-76.70335850093862"/>
    <n v="-6.1475657161318944"/>
    <n v="-82.850924217070514"/>
    <n v="0"/>
    <n v="0"/>
    <n v="0"/>
    <n v="-82.850924217070514"/>
  </r>
  <r>
    <x v="3"/>
    <d v="2024-05-03T00:00:00"/>
    <d v="2024-05-24T00:00:00"/>
    <x v="6"/>
    <n v="9"/>
    <n v="92"/>
    <n v="1.7695680965781104"/>
    <n v="0.49117878822913336"/>
    <n v="45.188448517080268"/>
    <n v="162.80026488518615"/>
    <n v="-117.61181636810588"/>
    <n v="-9.4262674314022377"/>
    <n v="-127.03808379950812"/>
    <n v="0"/>
    <n v="0"/>
    <n v="0"/>
    <n v="-127.03808379950812"/>
  </r>
  <r>
    <x v="4"/>
    <d v="2024-06-05T00:00:00"/>
    <d v="2024-06-24T00:00:00"/>
    <x v="6"/>
    <n v="9"/>
    <n v="118"/>
    <n v="1.7695680965781104"/>
    <n v="0.49117878822913336"/>
    <n v="57.959097011037734"/>
    <n v="208.80903539621704"/>
    <n v="-150.84993838517931"/>
    <n v="-12.090212575059391"/>
    <n v="-162.9401509602387"/>
    <n v="0"/>
    <n v="0"/>
    <n v="0"/>
    <n v="-162.9401509602387"/>
  </r>
  <r>
    <x v="5"/>
    <d v="2024-07-03T00:00:00"/>
    <d v="2024-07-24T00:00:00"/>
    <x v="6"/>
    <n v="9"/>
    <n v="143"/>
    <n v="1.7695680965781104"/>
    <n v="0.49117878822913336"/>
    <n v="70.238566716766073"/>
    <n v="253.0482378106698"/>
    <n v="-182.80967109390372"/>
    <n v="-14.651698290114346"/>
    <n v="-197.46136938401807"/>
    <n v="0"/>
    <n v="0"/>
    <n v="0"/>
    <n v="-197.46136938401807"/>
  </r>
  <r>
    <x v="6"/>
    <d v="2024-08-05T00:00:00"/>
    <d v="2024-08-26T00:00:00"/>
    <x v="6"/>
    <n v="9"/>
    <n v="151"/>
    <n v="1.7695680965781104"/>
    <n v="0.49117878822913336"/>
    <n v="74.167997022599138"/>
    <n v="267.20478258329467"/>
    <n v="-193.03678556069553"/>
    <n v="-15.471373718931932"/>
    <n v="-208.50815927962748"/>
    <n v="0"/>
    <n v="0"/>
    <n v="0"/>
    <n v="-208.50815927962748"/>
  </r>
  <r>
    <x v="7"/>
    <d v="2024-09-04T00:00:00"/>
    <d v="2024-09-24T00:00:00"/>
    <x v="6"/>
    <n v="9"/>
    <n v="157"/>
    <n v="1.7695680965781104"/>
    <n v="0.49117878822913336"/>
    <n v="77.115069751973934"/>
    <n v="277.82219116276332"/>
    <n v="-200.7071214107894"/>
    <n v="-16.086130290545121"/>
    <n v="-216.79325170133453"/>
    <n v="0"/>
    <n v="0"/>
    <n v="0"/>
    <n v="-216.79325170133453"/>
  </r>
  <r>
    <x v="8"/>
    <d v="2024-10-03T00:00:00"/>
    <d v="2024-10-24T00:00:00"/>
    <x v="6"/>
    <n v="9"/>
    <n v="146"/>
    <n v="1.7695680965781104"/>
    <n v="0.49117878822913336"/>
    <n v="71.712103081453463"/>
    <n v="258.35694210040413"/>
    <n v="-186.64483901895068"/>
    <n v="-14.959076575920941"/>
    <n v="-201.60391559487161"/>
    <n v="0"/>
    <n v="0"/>
    <n v="0"/>
    <n v="-201.60391559487161"/>
  </r>
  <r>
    <x v="9"/>
    <d v="2024-11-05T00:00:00"/>
    <d v="2024-11-25T00:00:00"/>
    <x v="6"/>
    <n v="9"/>
    <n v="116"/>
    <n v="1.7695680965781104"/>
    <n v="0.49117878822913336"/>
    <n v="56.976739434579471"/>
    <n v="205.26989920306082"/>
    <n v="-148.29315976848136"/>
    <n v="-11.885293717854994"/>
    <n v="-160.17845348633637"/>
    <n v="0"/>
    <n v="0"/>
    <n v="0"/>
    <n v="-160.17845348633637"/>
  </r>
  <r>
    <x v="10"/>
    <d v="2024-12-04T00:00:00"/>
    <d v="2024-12-24T00:00:00"/>
    <x v="6"/>
    <n v="9"/>
    <n v="62"/>
    <n v="1.7695680965781104"/>
    <n v="0.49117878822913336"/>
    <n v="30.453084870206268"/>
    <n v="109.71322198784284"/>
    <n v="-79.260137117636575"/>
    <n v="-6.35248457333629"/>
    <n v="-85.612621690972858"/>
    <n v="0"/>
    <n v="0"/>
    <n v="0"/>
    <n v="-85.612621690972858"/>
  </r>
  <r>
    <x v="11"/>
    <d v="2025-01-03T00:00:00"/>
    <d v="2025-01-24T00:00:00"/>
    <x v="6"/>
    <n v="9"/>
    <n v="77"/>
    <n v="1.7695680965781104"/>
    <n v="0.49117878822913336"/>
    <n v="37.820766693643272"/>
    <n v="136.25674343651451"/>
    <n v="-98.435976742871247"/>
    <n v="-7.8893760023692634"/>
    <n v="-106.32535274524051"/>
    <n v="0"/>
    <n v="0"/>
    <n v="0"/>
    <n v="-106.32535274524051"/>
  </r>
  <r>
    <x v="0"/>
    <d v="2024-02-05T00:00:00"/>
    <d v="2024-02-26T00:00:00"/>
    <x v="7"/>
    <n v="9"/>
    <n v="65"/>
    <n v="1.7695680965781104"/>
    <n v="0.49117878822913336"/>
    <n v="31.92662123489367"/>
    <n v="115.02192627757718"/>
    <n v="-83.095305042683506"/>
    <n v="-6.6598628591428861"/>
    <n v="-89.755167901826397"/>
    <n v="0"/>
    <n v="0"/>
    <n v="0"/>
    <n v="-89.755167901826397"/>
  </r>
  <r>
    <x v="1"/>
    <d v="2024-03-05T00:00:00"/>
    <d v="2024-03-25T00:00:00"/>
    <x v="7"/>
    <n v="9"/>
    <n v="65"/>
    <n v="1.7695680965781104"/>
    <n v="0.49117878822913336"/>
    <n v="31.92662123489367"/>
    <n v="115.02192627757718"/>
    <n v="-83.095305042683506"/>
    <n v="-6.6598628591428861"/>
    <n v="-89.755167901826397"/>
    <n v="0"/>
    <n v="0"/>
    <n v="0"/>
    <n v="-89.755167901826397"/>
  </r>
  <r>
    <x v="2"/>
    <d v="2024-04-03T00:00:00"/>
    <d v="2024-04-24T00:00:00"/>
    <x v="7"/>
    <n v="9"/>
    <n v="64"/>
    <n v="1.7695680965781104"/>
    <n v="0.49117878822913336"/>
    <n v="31.435442446664535"/>
    <n v="113.25235818099907"/>
    <n v="-81.816915734334529"/>
    <n v="-6.5574034305406874"/>
    <n v="-88.374319164875217"/>
    <n v="0"/>
    <n v="0"/>
    <n v="0"/>
    <n v="-88.374319164875217"/>
  </r>
  <r>
    <x v="3"/>
    <d v="2024-05-03T00:00:00"/>
    <d v="2024-05-24T00:00:00"/>
    <x v="7"/>
    <n v="9"/>
    <n v="65"/>
    <n v="1.7695680965781104"/>
    <n v="0.49117878822913336"/>
    <n v="31.92662123489367"/>
    <n v="115.02192627757718"/>
    <n v="-83.095305042683506"/>
    <n v="-6.6598628591428861"/>
    <n v="-89.755167901826397"/>
    <n v="0"/>
    <n v="0"/>
    <n v="0"/>
    <n v="-89.755167901826397"/>
  </r>
  <r>
    <x v="4"/>
    <d v="2024-06-05T00:00:00"/>
    <d v="2024-06-24T00:00:00"/>
    <x v="7"/>
    <n v="9"/>
    <n v="51"/>
    <n v="1.7695680965781104"/>
    <n v="0.49117878822913336"/>
    <n v="25.050118199685802"/>
    <n v="90.247972925483637"/>
    <n v="-65.197854725797839"/>
    <n v="-5.2254308587121097"/>
    <n v="-70.423285584509955"/>
    <n v="0"/>
    <n v="0"/>
    <n v="0"/>
    <n v="-70.423285584509955"/>
  </r>
  <r>
    <x v="5"/>
    <d v="2024-07-03T00:00:00"/>
    <d v="2024-07-24T00:00:00"/>
    <x v="7"/>
    <n v="9"/>
    <n v="59"/>
    <n v="1.7695680965781104"/>
    <n v="0.49117878822913336"/>
    <n v="28.979548505518867"/>
    <n v="104.40451769810852"/>
    <n v="-75.424969192589657"/>
    <n v="-6.0451062875296957"/>
    <n v="-81.470075480119348"/>
    <n v="0"/>
    <n v="0"/>
    <n v="0"/>
    <n v="-81.470075480119348"/>
  </r>
  <r>
    <x v="6"/>
    <d v="2024-08-05T00:00:00"/>
    <d v="2024-08-26T00:00:00"/>
    <x v="7"/>
    <n v="9"/>
    <n v="67"/>
    <n v="1.7695680965781104"/>
    <n v="0.49117878822913336"/>
    <n v="32.908978811351936"/>
    <n v="118.5610624707334"/>
    <n v="-85.652083659381475"/>
    <n v="-6.8647817163472817"/>
    <n v="-92.516865375728756"/>
    <n v="0"/>
    <n v="0"/>
    <n v="0"/>
    <n v="-92.516865375728756"/>
  </r>
  <r>
    <x v="7"/>
    <d v="2024-09-04T00:00:00"/>
    <d v="2024-09-24T00:00:00"/>
    <x v="7"/>
    <n v="9"/>
    <n v="70"/>
    <n v="1.7695680965781104"/>
    <n v="0.49117878822913336"/>
    <n v="34.382515176039334"/>
    <n v="123.86976676046773"/>
    <n v="-89.487251584428392"/>
    <n v="-7.1721600021538761"/>
    <n v="-96.659411586582266"/>
    <n v="0"/>
    <n v="0"/>
    <n v="0"/>
    <n v="-96.659411586582266"/>
  </r>
  <r>
    <x v="8"/>
    <d v="2024-10-03T00:00:00"/>
    <d v="2024-10-24T00:00:00"/>
    <x v="7"/>
    <n v="9"/>
    <n v="72"/>
    <n v="1.7695680965781104"/>
    <n v="0.49117878822913336"/>
    <n v="35.364872752497604"/>
    <n v="127.40890295362395"/>
    <n v="-92.044030201126347"/>
    <n v="-7.3770788593582735"/>
    <n v="-99.421109060484625"/>
    <n v="0"/>
    <n v="0"/>
    <n v="0"/>
    <n v="-99.421109060484625"/>
  </r>
  <r>
    <x v="9"/>
    <d v="2024-11-05T00:00:00"/>
    <d v="2024-11-25T00:00:00"/>
    <x v="7"/>
    <n v="9"/>
    <n v="73"/>
    <n v="1.7695680965781104"/>
    <n v="0.49117878822913336"/>
    <n v="35.856051540726732"/>
    <n v="129.17847105020206"/>
    <n v="-93.322419509475338"/>
    <n v="-7.4795382879604704"/>
    <n v="-100.8019577974358"/>
    <n v="0"/>
    <n v="0"/>
    <n v="0"/>
    <n v="-100.8019577974358"/>
  </r>
  <r>
    <x v="10"/>
    <d v="2024-12-04T00:00:00"/>
    <d v="2024-12-24T00:00:00"/>
    <x v="7"/>
    <n v="9"/>
    <n v="72"/>
    <n v="1.7695680965781104"/>
    <n v="0.49117878822913336"/>
    <n v="35.364872752497604"/>
    <n v="127.40890295362395"/>
    <n v="-92.044030201126347"/>
    <n v="-7.3770788593582735"/>
    <n v="-99.421109060484625"/>
    <n v="0"/>
    <n v="0"/>
    <n v="0"/>
    <n v="-99.421109060484625"/>
  </r>
  <r>
    <x v="11"/>
    <d v="2025-01-03T00:00:00"/>
    <d v="2025-01-24T00:00:00"/>
    <x v="7"/>
    <n v="9"/>
    <n v="65"/>
    <n v="1.7695680965781104"/>
    <n v="0.49117878822913336"/>
    <n v="31.92662123489367"/>
    <n v="115.02192627757718"/>
    <n v="-83.095305042683506"/>
    <n v="-6.6598628591428861"/>
    <n v="-89.755167901826397"/>
    <n v="0"/>
    <n v="0"/>
    <n v="0"/>
    <n v="-89.755167901826397"/>
  </r>
  <r>
    <x v="0"/>
    <d v="2024-02-05T00:00:00"/>
    <d v="2024-02-26T00:00:00"/>
    <x v="8"/>
    <n v="9"/>
    <n v="1452"/>
    <n v="1.7695680965781104"/>
    <n v="0.49117878822913336"/>
    <n v="713.19160050870164"/>
    <n v="2569.4128762314162"/>
    <n v="-1856.2212757227146"/>
    <n v="-148.77109033039184"/>
    <n v="-2004.9923660531065"/>
    <n v="0"/>
    <n v="0"/>
    <n v="0"/>
    <n v="-2004.9923660531065"/>
  </r>
  <r>
    <x v="1"/>
    <d v="2024-03-05T00:00:00"/>
    <d v="2024-03-25T00:00:00"/>
    <x v="8"/>
    <n v="9"/>
    <n v="966"/>
    <n v="1.7695680965781104"/>
    <n v="0.49117878822913336"/>
    <n v="474.47870942934281"/>
    <n v="1709.4027812944546"/>
    <n v="-1234.9240718651117"/>
    <n v="-98.975808029723481"/>
    <n v="-1333.8998798948353"/>
    <n v="0"/>
    <n v="0"/>
    <n v="0"/>
    <n v="-1333.8998798948353"/>
  </r>
  <r>
    <x v="2"/>
    <d v="2024-04-03T00:00:00"/>
    <d v="2024-04-24T00:00:00"/>
    <x v="8"/>
    <n v="9"/>
    <n v="732"/>
    <n v="1.7695680965781104"/>
    <n v="0.49117878822913336"/>
    <n v="359.5428729837256"/>
    <n v="1295.3238466951768"/>
    <n v="-935.78097371145122"/>
    <n v="-75.000301736809107"/>
    <n v="-1010.7812754482603"/>
    <n v="0"/>
    <n v="0"/>
    <n v="0"/>
    <n v="-1010.7812754482603"/>
  </r>
  <r>
    <x v="3"/>
    <d v="2024-05-03T00:00:00"/>
    <d v="2024-05-24T00:00:00"/>
    <x v="8"/>
    <n v="9"/>
    <n v="547"/>
    <n v="1.7695680965781104"/>
    <n v="0.49117878822913336"/>
    <n v="268.67479716133596"/>
    <n v="967.95374882822637"/>
    <n v="-699.27895166689041"/>
    <n v="-56.045307445402429"/>
    <n v="-755.32425911229279"/>
    <n v="0"/>
    <n v="0"/>
    <n v="0"/>
    <n v="-755.32425911229279"/>
  </r>
  <r>
    <x v="4"/>
    <d v="2024-06-05T00:00:00"/>
    <d v="2024-06-24T00:00:00"/>
    <x v="8"/>
    <n v="9"/>
    <n v="747"/>
    <n v="1.7695680965781104"/>
    <n v="0.49117878822913336"/>
    <n v="366.91055480716261"/>
    <n v="1321.8673681438486"/>
    <n v="-954.95681333668597"/>
    <n v="-76.537193165842083"/>
    <n v="-1031.494006502528"/>
    <n v="0"/>
    <n v="0"/>
    <n v="0"/>
    <n v="-1031.494006502528"/>
  </r>
  <r>
    <x v="5"/>
    <d v="2024-07-03T00:00:00"/>
    <d v="2024-07-24T00:00:00"/>
    <x v="8"/>
    <n v="9"/>
    <n v="917"/>
    <n v="1.7695680965781104"/>
    <n v="0.49117878822913336"/>
    <n v="450.4109488061153"/>
    <n v="1622.6939445621272"/>
    <n v="-1172.2829957560118"/>
    <n v="-93.955296028215784"/>
    <n v="-1266.2382917842276"/>
    <n v="0"/>
    <n v="0"/>
    <n v="0"/>
    <n v="-1266.2382917842276"/>
  </r>
  <r>
    <x v="6"/>
    <d v="2024-08-05T00:00:00"/>
    <d v="2024-08-26T00:00:00"/>
    <x v="8"/>
    <n v="9"/>
    <n v="950"/>
    <n v="1.7695680965781104"/>
    <n v="0.49117878822913336"/>
    <n v="466.61984881767671"/>
    <n v="1681.0896917492048"/>
    <n v="-1214.4698429315281"/>
    <n v="-97.33645717208833"/>
    <n v="-1311.8063001036164"/>
    <n v="0"/>
    <n v="0"/>
    <n v="0"/>
    <n v="-1311.8063001036164"/>
  </r>
  <r>
    <x v="7"/>
    <d v="2024-09-04T00:00:00"/>
    <d v="2024-09-24T00:00:00"/>
    <x v="8"/>
    <n v="9"/>
    <n v="940"/>
    <n v="1.7695680965781104"/>
    <n v="0.49117878822913336"/>
    <n v="461.70806093538533"/>
    <n v="1663.3940107834237"/>
    <n v="-1201.6859498480385"/>
    <n v="-96.311862886066336"/>
    <n v="-1297.9978127341049"/>
    <n v="0"/>
    <n v="0"/>
    <n v="0"/>
    <n v="-1297.9978127341049"/>
  </r>
  <r>
    <x v="8"/>
    <d v="2024-10-03T00:00:00"/>
    <d v="2024-10-24T00:00:00"/>
    <x v="8"/>
    <n v="9"/>
    <n v="816"/>
    <n v="1.7695680965781104"/>
    <n v="0.49117878822913336"/>
    <n v="400.80189119497282"/>
    <n v="1443.9675668077382"/>
    <n v="-1043.1656756127654"/>
    <n v="-83.606893739393755"/>
    <n v="-1126.7725693521593"/>
    <n v="0"/>
    <n v="0"/>
    <n v="0"/>
    <n v="-1126.7725693521593"/>
  </r>
  <r>
    <x v="9"/>
    <d v="2024-11-05T00:00:00"/>
    <d v="2024-11-25T00:00:00"/>
    <x v="8"/>
    <n v="9"/>
    <n v="683"/>
    <n v="1.7695680965781104"/>
    <n v="0.49117878822913336"/>
    <n v="335.47511236049809"/>
    <n v="1208.6150099628494"/>
    <n v="-873.13989760235131"/>
    <n v="-69.979789735301395"/>
    <n v="-943.11968733765275"/>
    <n v="0"/>
    <n v="0"/>
    <n v="0"/>
    <n v="-943.11968733765275"/>
  </r>
  <r>
    <x v="10"/>
    <d v="2024-12-04T00:00:00"/>
    <d v="2024-12-24T00:00:00"/>
    <x v="8"/>
    <n v="9"/>
    <n v="525"/>
    <n v="1.7695680965781104"/>
    <n v="0.49117878822913336"/>
    <n v="257.86886382029502"/>
    <n v="929.02325070350798"/>
    <n v="-671.15438688321296"/>
    <n v="-53.791200016154072"/>
    <n v="-724.94558689936707"/>
    <n v="0"/>
    <n v="0"/>
    <n v="0"/>
    <n v="-724.94558689936707"/>
  </r>
  <r>
    <x v="11"/>
    <d v="2025-01-03T00:00:00"/>
    <d v="2025-01-24T00:00:00"/>
    <x v="8"/>
    <n v="9"/>
    <n v="863"/>
    <n v="1.7695680965781104"/>
    <n v="0.49117878822913336"/>
    <n v="423.8872942417421"/>
    <n v="1527.1372673469093"/>
    <n v="-1103.2499731051671"/>
    <n v="-88.422486883697076"/>
    <n v="-1191.6724599888641"/>
    <n v="0"/>
    <n v="0"/>
    <n v="0"/>
    <n v="-1191.6724599888641"/>
  </r>
  <r>
    <x v="0"/>
    <d v="2024-02-05T00:00:00"/>
    <d v="2024-02-26T00:00:00"/>
    <x v="9"/>
    <n v="9"/>
    <n v="8"/>
    <n v="1.7695680965781104"/>
    <n v="0.49117878822913336"/>
    <n v="3.9294303058330668"/>
    <n v="14.156544772624883"/>
    <n v="-10.227114466791816"/>
    <n v="-0.81967542881758593"/>
    <n v="-11.046789895609402"/>
    <n v="0"/>
    <n v="0"/>
    <n v="0"/>
    <n v="-11.046789895609402"/>
  </r>
  <r>
    <x v="1"/>
    <d v="2024-03-05T00:00:00"/>
    <d v="2024-03-25T00:00:00"/>
    <x v="9"/>
    <n v="9"/>
    <n v="5"/>
    <n v="1.7695680965781104"/>
    <n v="0.49117878822913336"/>
    <n v="2.4558939411456668"/>
    <n v="8.8478404828905521"/>
    <n v="-6.3919465417448853"/>
    <n v="-0.51229714301099116"/>
    <n v="-6.9042436847558761"/>
    <n v="0"/>
    <n v="0"/>
    <n v="0"/>
    <n v="-6.9042436847558761"/>
  </r>
  <r>
    <x v="2"/>
    <d v="2024-04-03T00:00:00"/>
    <d v="2024-04-24T00:00:00"/>
    <x v="9"/>
    <n v="9"/>
    <n v="5"/>
    <n v="1.7695680965781104"/>
    <n v="0.49117878822913336"/>
    <n v="2.4558939411456668"/>
    <n v="8.8478404828905521"/>
    <n v="-6.3919465417448853"/>
    <n v="-0.51229714301099116"/>
    <n v="-6.9042436847558761"/>
    <n v="0"/>
    <n v="0"/>
    <n v="0"/>
    <n v="-6.9042436847558761"/>
  </r>
  <r>
    <x v="3"/>
    <d v="2024-05-03T00:00:00"/>
    <d v="2024-05-24T00:00:00"/>
    <x v="9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4"/>
    <d v="2024-06-05T00:00:00"/>
    <d v="2024-06-24T00:00:00"/>
    <x v="9"/>
    <n v="9"/>
    <n v="9"/>
    <n v="1.7695680965781104"/>
    <n v="0.49117878822913336"/>
    <n v="4.4206090940622005"/>
    <n v="15.926112869202994"/>
    <n v="-11.505503775140793"/>
    <n v="-0.92213485741978418"/>
    <n v="-12.427638632560578"/>
    <n v="0"/>
    <n v="0"/>
    <n v="0"/>
    <n v="-12.427638632560578"/>
  </r>
  <r>
    <x v="5"/>
    <d v="2024-07-03T00:00:00"/>
    <d v="2024-07-24T00:00:00"/>
    <x v="9"/>
    <n v="9"/>
    <n v="14"/>
    <n v="1.7695680965781104"/>
    <n v="0.49117878822913336"/>
    <n v="6.8765030352078673"/>
    <n v="24.773953352093546"/>
    <n v="-17.897450316885678"/>
    <n v="-1.4344320004307753"/>
    <n v="-19.331882317316452"/>
    <n v="0"/>
    <n v="0"/>
    <n v="0"/>
    <n v="-19.331882317316452"/>
  </r>
  <r>
    <x v="6"/>
    <d v="2024-08-05T00:00:00"/>
    <d v="2024-08-26T00:00:00"/>
    <x v="9"/>
    <n v="9"/>
    <n v="17"/>
    <n v="1.7695680965781104"/>
    <n v="0.49117878822913336"/>
    <n v="8.3500393998952678"/>
    <n v="30.082657641827879"/>
    <n v="-21.732618241932613"/>
    <n v="-1.7418102862373701"/>
    <n v="-23.474428528169984"/>
    <n v="0"/>
    <n v="0"/>
    <n v="0"/>
    <n v="-23.474428528169984"/>
  </r>
  <r>
    <x v="7"/>
    <d v="2024-09-04T00:00:00"/>
    <d v="2024-09-24T00:00:00"/>
    <x v="9"/>
    <n v="9"/>
    <n v="19"/>
    <n v="1.7695680965781104"/>
    <n v="0.49117878822913336"/>
    <n v="9.3323969763535342"/>
    <n v="33.621793834984096"/>
    <n v="-24.28939685863056"/>
    <n v="-1.9467291434417666"/>
    <n v="-26.236126002072329"/>
    <n v="0"/>
    <n v="0"/>
    <n v="0"/>
    <n v="-26.236126002072329"/>
  </r>
  <r>
    <x v="8"/>
    <d v="2024-10-03T00:00:00"/>
    <d v="2024-10-24T00:00:00"/>
    <x v="9"/>
    <n v="9"/>
    <n v="11"/>
    <n v="1.7695680965781104"/>
    <n v="0.49117878822913336"/>
    <n v="5.4029666705204669"/>
    <n v="19.465249062359213"/>
    <n v="-14.062282391838746"/>
    <n v="-1.1270537146241806"/>
    <n v="-15.189336106462926"/>
    <n v="0"/>
    <n v="0"/>
    <n v="0"/>
    <n v="-15.189336106462926"/>
  </r>
  <r>
    <x v="9"/>
    <d v="2024-11-05T00:00:00"/>
    <d v="2024-11-25T00:00:00"/>
    <x v="9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10"/>
    <d v="2024-12-04T00:00:00"/>
    <d v="2024-12-24T00:00:00"/>
    <x v="9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11"/>
    <d v="2025-01-03T00:00:00"/>
    <d v="2025-01-24T00:00:00"/>
    <x v="9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0"/>
    <d v="2024-02-05T00:00:00"/>
    <d v="2024-02-26T00:00:00"/>
    <x v="10"/>
    <n v="9"/>
    <n v="4"/>
    <n v="1.7695680965781104"/>
    <n v="0.49117878822913336"/>
    <n v="1.9647151529165334"/>
    <n v="7.0782723863124417"/>
    <n v="-5.1135572333959081"/>
    <n v="-0.40983771440879296"/>
    <n v="-5.5233949478047011"/>
    <n v="0"/>
    <n v="0"/>
    <n v="0"/>
    <n v="-5.5233949478047011"/>
  </r>
  <r>
    <x v="1"/>
    <d v="2024-03-05T00:00:00"/>
    <d v="2024-03-25T00:00:00"/>
    <x v="10"/>
    <n v="9"/>
    <n v="3"/>
    <n v="1.7695680965781104"/>
    <n v="0.49117878822913336"/>
    <n v="1.4735363646874"/>
    <n v="5.3087042897343313"/>
    <n v="-3.8351679250469313"/>
    <n v="-0.30737828580659471"/>
    <n v="-4.142546210853526"/>
    <n v="0"/>
    <n v="0"/>
    <n v="0"/>
    <n v="-4.142546210853526"/>
  </r>
  <r>
    <x v="2"/>
    <d v="2024-04-03T00:00:00"/>
    <d v="2024-04-24T00:00:00"/>
    <x v="10"/>
    <n v="9"/>
    <n v="3"/>
    <n v="1.7695680965781104"/>
    <n v="0.49117878822913336"/>
    <n v="1.4735363646874"/>
    <n v="5.3087042897343313"/>
    <n v="-3.8351679250469313"/>
    <n v="-0.30737828580659471"/>
    <n v="-4.142546210853526"/>
    <n v="0"/>
    <n v="0"/>
    <n v="0"/>
    <n v="-4.142546210853526"/>
  </r>
  <r>
    <x v="3"/>
    <d v="2024-05-03T00:00:00"/>
    <d v="2024-05-24T00:00:00"/>
    <x v="10"/>
    <n v="9"/>
    <n v="2"/>
    <n v="1.7695680965781104"/>
    <n v="0.49117878822913336"/>
    <n v="0.98235757645826671"/>
    <n v="3.5391361931562209"/>
    <n v="-2.556778616697954"/>
    <n v="-0.20491885720439648"/>
    <n v="-2.7616974739023505"/>
    <n v="0"/>
    <n v="0"/>
    <n v="0"/>
    <n v="-2.7616974739023505"/>
  </r>
  <r>
    <x v="4"/>
    <d v="2024-06-05T00:00:00"/>
    <d v="2024-06-24T00:00:00"/>
    <x v="10"/>
    <n v="9"/>
    <n v="4"/>
    <n v="1.7695680965781104"/>
    <n v="0.49117878822913336"/>
    <n v="1.9647151529165334"/>
    <n v="7.0782723863124417"/>
    <n v="-5.1135572333959081"/>
    <n v="-0.40983771440879296"/>
    <n v="-5.5233949478047011"/>
    <n v="0"/>
    <n v="0"/>
    <n v="0"/>
    <n v="-5.5233949478047011"/>
  </r>
  <r>
    <x v="5"/>
    <d v="2024-07-03T00:00:00"/>
    <d v="2024-07-24T00:00:00"/>
    <x v="10"/>
    <n v="9"/>
    <n v="4"/>
    <n v="1.7695680965781104"/>
    <n v="0.49117878822913336"/>
    <n v="1.9647151529165334"/>
    <n v="7.0782723863124417"/>
    <n v="-5.1135572333959081"/>
    <n v="-0.40983771440879296"/>
    <n v="-5.5233949478047011"/>
    <n v="0"/>
    <n v="0"/>
    <n v="0"/>
    <n v="-5.5233949478047011"/>
  </r>
  <r>
    <x v="6"/>
    <d v="2024-08-05T00:00:00"/>
    <d v="2024-08-26T00:00:00"/>
    <x v="10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7"/>
    <d v="2024-09-04T00:00:00"/>
    <d v="2024-09-24T00:00:00"/>
    <x v="10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8"/>
    <d v="2024-10-03T00:00:00"/>
    <d v="2024-10-24T00:00:00"/>
    <x v="10"/>
    <n v="9"/>
    <n v="3"/>
    <n v="1.7695680965781104"/>
    <n v="0.49117878822913336"/>
    <n v="1.4735363646874"/>
    <n v="5.3087042897343313"/>
    <n v="-3.8351679250469313"/>
    <n v="-0.30737828580659471"/>
    <n v="-4.142546210853526"/>
    <n v="0"/>
    <n v="0"/>
    <n v="0"/>
    <n v="-4.142546210853526"/>
  </r>
  <r>
    <x v="9"/>
    <d v="2024-11-05T00:00:00"/>
    <d v="2024-11-25T00:00:00"/>
    <x v="10"/>
    <n v="9"/>
    <n v="6"/>
    <n v="1.7695680965781104"/>
    <n v="0.49117878822913336"/>
    <n v="2.9470727293748"/>
    <n v="10.617408579468663"/>
    <n v="-7.6703358500938625"/>
    <n v="-0.61475657161318942"/>
    <n v="-8.2850924217070521"/>
    <n v="0"/>
    <n v="0"/>
    <n v="0"/>
    <n v="-8.2850924217070521"/>
  </r>
  <r>
    <x v="10"/>
    <d v="2024-12-04T00:00:00"/>
    <d v="2024-12-24T00:00:00"/>
    <x v="10"/>
    <n v="9"/>
    <n v="1"/>
    <n v="1.7695680965781104"/>
    <n v="0.49117878822913336"/>
    <n v="0.49117878822913336"/>
    <n v="1.7695680965781104"/>
    <n v="-1.278389308348977"/>
    <n v="-0.10245942860219824"/>
    <n v="-1.3808487369511753"/>
    <n v="0"/>
    <n v="0"/>
    <n v="0"/>
    <n v="-1.3808487369511753"/>
  </r>
  <r>
    <x v="11"/>
    <d v="2025-01-03T00:00:00"/>
    <d v="2025-01-24T00:00:00"/>
    <x v="10"/>
    <n v="9"/>
    <n v="3"/>
    <n v="1.7695680965781104"/>
    <n v="0.49117878822913336"/>
    <n v="1.4735363646874"/>
    <n v="5.3087042897343313"/>
    <n v="-3.8351679250469313"/>
    <n v="-0.30737828580659471"/>
    <n v="-4.142546210853526"/>
    <n v="0"/>
    <n v="0"/>
    <n v="0"/>
    <n v="-4.142546210853526"/>
  </r>
  <r>
    <x v="0"/>
    <d v="2024-02-05T00:00:00"/>
    <d v="2024-02-26T00:00:00"/>
    <x v="11"/>
    <n v="9"/>
    <n v="145"/>
    <n v="1.7695680965781104"/>
    <n v="0.49117878822913336"/>
    <n v="71.220924293224343"/>
    <n v="256.58737400382603"/>
    <n v="-185.36644971060167"/>
    <n v="-14.856617147318744"/>
    <n v="-200.2230668579204"/>
    <n v="0"/>
    <n v="0"/>
    <n v="0"/>
    <n v="-200.2230668579204"/>
  </r>
  <r>
    <x v="1"/>
    <d v="2024-03-05T00:00:00"/>
    <d v="2024-03-25T00:00:00"/>
    <x v="11"/>
    <n v="9"/>
    <n v="100"/>
    <n v="1.7695680965781104"/>
    <n v="0.49117878822913336"/>
    <n v="49.117878822913333"/>
    <n v="176.95680965781105"/>
    <n v="-127.83893083489772"/>
    <n v="-10.245942860219824"/>
    <n v="-138.08487369511755"/>
    <n v="0"/>
    <n v="0"/>
    <n v="0"/>
    <n v="-138.08487369511755"/>
  </r>
  <r>
    <x v="2"/>
    <d v="2024-04-03T00:00:00"/>
    <d v="2024-04-24T00:00:00"/>
    <x v="11"/>
    <n v="9"/>
    <n v="92"/>
    <n v="1.7695680965781104"/>
    <n v="0.49117878822913336"/>
    <n v="45.188448517080268"/>
    <n v="162.80026488518615"/>
    <n v="-117.61181636810588"/>
    <n v="-9.4262674314022377"/>
    <n v="-127.03808379950812"/>
    <n v="0"/>
    <n v="0"/>
    <n v="0"/>
    <n v="-127.03808379950812"/>
  </r>
  <r>
    <x v="3"/>
    <d v="2024-05-03T00:00:00"/>
    <d v="2024-05-24T00:00:00"/>
    <x v="11"/>
    <n v="9"/>
    <n v="101"/>
    <n v="1.7695680965781104"/>
    <n v="0.49117878822913336"/>
    <n v="49.609057611142468"/>
    <n v="178.72637775438915"/>
    <n v="-129.11732014324667"/>
    <n v="-10.348402288822022"/>
    <n v="-139.4657224320687"/>
    <n v="0"/>
    <n v="0"/>
    <n v="0"/>
    <n v="-139.4657224320687"/>
  </r>
  <r>
    <x v="4"/>
    <d v="2024-06-05T00:00:00"/>
    <d v="2024-06-24T00:00:00"/>
    <x v="11"/>
    <n v="9"/>
    <n v="118"/>
    <n v="1.7695680965781104"/>
    <n v="0.49117878822913336"/>
    <n v="57.959097011037734"/>
    <n v="208.80903539621704"/>
    <n v="-150.84993838517931"/>
    <n v="-12.090212575059391"/>
    <n v="-162.9401509602387"/>
    <n v="0"/>
    <n v="0"/>
    <n v="0"/>
    <n v="-162.9401509602387"/>
  </r>
  <r>
    <x v="5"/>
    <d v="2024-07-03T00:00:00"/>
    <d v="2024-07-24T00:00:00"/>
    <x v="11"/>
    <n v="9"/>
    <n v="173"/>
    <n v="1.7695680965781104"/>
    <n v="0.49117878822913336"/>
    <n v="84.973930363640065"/>
    <n v="306.13528070801311"/>
    <n v="-221.16135034437303"/>
    <n v="-17.725481148180293"/>
    <n v="-238.88683149255331"/>
    <n v="0"/>
    <n v="0"/>
    <n v="0"/>
    <n v="-238.88683149255331"/>
  </r>
  <r>
    <x v="6"/>
    <d v="2024-08-05T00:00:00"/>
    <d v="2024-08-26T00:00:00"/>
    <x v="11"/>
    <n v="9"/>
    <n v="164"/>
    <n v="1.7695680965781104"/>
    <n v="0.49117878822913336"/>
    <n v="80.553321269577864"/>
    <n v="290.20916783881012"/>
    <n v="-209.65584656923227"/>
    <n v="-16.803346290760512"/>
    <n v="-226.45919285999278"/>
    <n v="0"/>
    <n v="0"/>
    <n v="0"/>
    <n v="-226.45919285999278"/>
  </r>
  <r>
    <x v="7"/>
    <d v="2024-09-04T00:00:00"/>
    <d v="2024-09-24T00:00:00"/>
    <x v="11"/>
    <n v="9"/>
    <n v="170"/>
    <n v="1.7695680965781104"/>
    <n v="0.49117878822913336"/>
    <n v="83.500393998952674"/>
    <n v="300.82657641827876"/>
    <n v="-217.32618241932607"/>
    <n v="-17.418102862373701"/>
    <n v="-234.74428528169977"/>
    <n v="0"/>
    <n v="0"/>
    <n v="0"/>
    <n v="-234.74428528169977"/>
  </r>
  <r>
    <x v="8"/>
    <d v="2024-10-03T00:00:00"/>
    <d v="2024-10-24T00:00:00"/>
    <x v="11"/>
    <n v="9"/>
    <n v="156"/>
    <n v="1.7695680965781104"/>
    <n v="0.49117878822913336"/>
    <n v="76.623890963744799"/>
    <n v="276.05262306618522"/>
    <n v="-199.42873210244042"/>
    <n v="-15.983670861942924"/>
    <n v="-215.41240296438335"/>
    <n v="0"/>
    <n v="0"/>
    <n v="0"/>
    <n v="-215.41240296438335"/>
  </r>
  <r>
    <x v="9"/>
    <d v="2024-11-05T00:00:00"/>
    <d v="2024-11-25T00:00:00"/>
    <x v="11"/>
    <n v="9"/>
    <n v="139"/>
    <n v="1.7695680965781104"/>
    <n v="0.49117878822913336"/>
    <n v="68.273851563849533"/>
    <n v="245.96996542435735"/>
    <n v="-177.69611386050781"/>
    <n v="-14.241860575705555"/>
    <n v="-191.93797443621335"/>
    <n v="0"/>
    <n v="0"/>
    <n v="0"/>
    <n v="-191.93797443621335"/>
  </r>
  <r>
    <x v="10"/>
    <d v="2024-12-04T00:00:00"/>
    <d v="2024-12-24T00:00:00"/>
    <x v="11"/>
    <n v="9"/>
    <n v="90"/>
    <n v="1.7695680965781104"/>
    <n v="0.49117878822913336"/>
    <n v="44.206090940622005"/>
    <n v="159.26112869202993"/>
    <n v="-115.05503775140792"/>
    <n v="-9.221348574197842"/>
    <n v="-124.27638632560577"/>
    <n v="0"/>
    <n v="0"/>
    <n v="0"/>
    <n v="-124.27638632560577"/>
  </r>
  <r>
    <x v="11"/>
    <d v="2025-01-03T00:00:00"/>
    <d v="2025-01-24T00:00:00"/>
    <x v="11"/>
    <n v="9"/>
    <n v="110"/>
    <n v="1.7695680965781104"/>
    <n v="0.49117878822913336"/>
    <n v="54.029666705204669"/>
    <n v="194.65249062359214"/>
    <n v="-140.62282391838747"/>
    <n v="-11.270537146241805"/>
    <n v="-151.89336106462926"/>
    <n v="0"/>
    <n v="0"/>
    <n v="0"/>
    <n v="-151.89336106462926"/>
  </r>
  <r>
    <x v="0"/>
    <d v="2024-02-05T00:00:00"/>
    <d v="2024-02-26T00:00:00"/>
    <x v="12"/>
    <n v="9"/>
    <n v="9"/>
    <n v="1.7695680965781104"/>
    <n v="0.49117878822913336"/>
    <n v="4.4206090940622005"/>
    <n v="15.926112869202994"/>
    <n v="-11.505503775140793"/>
    <n v="-0.92213485741978418"/>
    <n v="-12.427638632560578"/>
    <n v="0"/>
    <n v="0"/>
    <n v="0"/>
    <n v="-12.427638632560578"/>
  </r>
  <r>
    <x v="1"/>
    <d v="2024-03-05T00:00:00"/>
    <d v="2024-03-25T00:00:00"/>
    <x v="12"/>
    <n v="9"/>
    <n v="8"/>
    <n v="1.7695680965781104"/>
    <n v="0.49117878822913336"/>
    <n v="3.9294303058330668"/>
    <n v="14.156544772624883"/>
    <n v="-10.227114466791816"/>
    <n v="-0.81967542881758593"/>
    <n v="-11.046789895609402"/>
    <n v="0"/>
    <n v="0"/>
    <n v="0"/>
    <n v="-11.046789895609402"/>
  </r>
  <r>
    <x v="2"/>
    <d v="2024-04-03T00:00:00"/>
    <d v="2024-04-24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3"/>
    <d v="2024-05-03T00:00:00"/>
    <d v="2024-05-24T00:00:00"/>
    <x v="12"/>
    <n v="9"/>
    <n v="7"/>
    <n v="1.7695680965781104"/>
    <n v="0.49117878822913336"/>
    <n v="3.4382515176039337"/>
    <n v="12.386976676046773"/>
    <n v="-8.9487251584428389"/>
    <n v="-0.71721600021538767"/>
    <n v="-9.6659411586582262"/>
    <n v="0"/>
    <n v="0"/>
    <n v="0"/>
    <n v="-9.6659411586582262"/>
  </r>
  <r>
    <x v="4"/>
    <d v="2024-06-05T00:00:00"/>
    <d v="2024-06-24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5"/>
    <d v="2024-07-03T00:00:00"/>
    <d v="2024-07-24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6"/>
    <d v="2024-08-05T00:00:00"/>
    <d v="2024-08-26T00:00:00"/>
    <x v="12"/>
    <n v="9"/>
    <n v="12"/>
    <n v="1.7695680965781104"/>
    <n v="0.49117878822913336"/>
    <n v="5.8941454587496001"/>
    <n v="21.234817158937325"/>
    <n v="-15.340671700187725"/>
    <n v="-1.2295131432263788"/>
    <n v="-16.570184843414104"/>
    <n v="0"/>
    <n v="0"/>
    <n v="0"/>
    <n v="-16.570184843414104"/>
  </r>
  <r>
    <x v="7"/>
    <d v="2024-09-04T00:00:00"/>
    <d v="2024-09-24T00:00:00"/>
    <x v="12"/>
    <n v="9"/>
    <n v="12"/>
    <n v="1.7695680965781104"/>
    <n v="0.49117878822913336"/>
    <n v="5.8941454587496001"/>
    <n v="21.234817158937325"/>
    <n v="-15.340671700187725"/>
    <n v="-1.2295131432263788"/>
    <n v="-16.570184843414104"/>
    <n v="0"/>
    <n v="0"/>
    <n v="0"/>
    <n v="-16.570184843414104"/>
  </r>
  <r>
    <x v="8"/>
    <d v="2024-10-03T00:00:00"/>
    <d v="2024-10-24T00:00:00"/>
    <x v="12"/>
    <n v="9"/>
    <n v="11"/>
    <n v="1.7695680965781104"/>
    <n v="0.49117878822913336"/>
    <n v="5.4029666705204669"/>
    <n v="19.465249062359213"/>
    <n v="-14.062282391838746"/>
    <n v="-1.1270537146241806"/>
    <n v="-15.189336106462926"/>
    <n v="0"/>
    <n v="0"/>
    <n v="0"/>
    <n v="-15.189336106462926"/>
  </r>
  <r>
    <x v="9"/>
    <d v="2024-11-05T00:00:00"/>
    <d v="2024-11-25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10"/>
    <d v="2024-12-04T00:00:00"/>
    <d v="2024-12-24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11"/>
    <d v="2025-01-03T00:00:00"/>
    <d v="2025-01-24T00:00:00"/>
    <x v="12"/>
    <n v="9"/>
    <n v="10"/>
    <n v="1.7695680965781104"/>
    <n v="0.49117878822913336"/>
    <n v="4.9117878822913337"/>
    <n v="17.695680965781104"/>
    <n v="-12.783893083489771"/>
    <n v="-1.0245942860219823"/>
    <n v="-13.808487369511752"/>
    <n v="0"/>
    <n v="0"/>
    <n v="0"/>
    <n v="-13.808487369511752"/>
  </r>
  <r>
    <x v="0"/>
    <d v="2024-02-05T00:00:00"/>
    <d v="2024-02-26T00:00:00"/>
    <x v="13"/>
    <n v="9"/>
    <n v="26"/>
    <n v="1.7695680965781104"/>
    <n v="0.49117878822913336"/>
    <n v="12.770648493957466"/>
    <n v="46.008770511030875"/>
    <n v="-33.238122017073408"/>
    <n v="-2.6639451436571542"/>
    <n v="-35.90206716073056"/>
    <n v="0"/>
    <n v="0"/>
    <n v="0"/>
    <n v="-35.90206716073056"/>
  </r>
  <r>
    <x v="1"/>
    <d v="2024-03-05T00:00:00"/>
    <d v="2024-03-25T00:00:00"/>
    <x v="13"/>
    <n v="9"/>
    <n v="19"/>
    <n v="1.7695680965781104"/>
    <n v="0.49117878822913336"/>
    <n v="9.3323969763535342"/>
    <n v="33.621793834984096"/>
    <n v="-24.28939685863056"/>
    <n v="-1.9467291434417666"/>
    <n v="-26.236126002072329"/>
    <n v="0"/>
    <n v="0"/>
    <n v="0"/>
    <n v="-26.236126002072329"/>
  </r>
  <r>
    <x v="2"/>
    <d v="2024-04-03T00:00:00"/>
    <d v="2024-04-24T00:00:00"/>
    <x v="13"/>
    <n v="9"/>
    <n v="18"/>
    <n v="1.7695680965781104"/>
    <n v="0.49117878822913336"/>
    <n v="8.841218188124401"/>
    <n v="31.852225738405988"/>
    <n v="-23.011007550281587"/>
    <n v="-1.8442697148395684"/>
    <n v="-24.855277265121156"/>
    <n v="0"/>
    <n v="0"/>
    <n v="0"/>
    <n v="-24.855277265121156"/>
  </r>
  <r>
    <x v="3"/>
    <d v="2024-05-03T00:00:00"/>
    <d v="2024-05-24T00:00:00"/>
    <x v="13"/>
    <n v="9"/>
    <n v="22"/>
    <n v="1.7695680965781104"/>
    <n v="0.49117878822913336"/>
    <n v="10.805933341040934"/>
    <n v="38.930498124718426"/>
    <n v="-28.124564783677492"/>
    <n v="-2.2541074292483612"/>
    <n v="-30.378672212925853"/>
    <n v="0"/>
    <n v="0"/>
    <n v="0"/>
    <n v="-30.378672212925853"/>
  </r>
  <r>
    <x v="4"/>
    <d v="2024-06-05T00:00:00"/>
    <d v="2024-06-24T00:00:00"/>
    <x v="13"/>
    <n v="9"/>
    <n v="31"/>
    <n v="1.7695680965781104"/>
    <n v="0.49117878822913336"/>
    <n v="15.226542435103134"/>
    <n v="54.856610993921421"/>
    <n v="-39.630068558818287"/>
    <n v="-3.176242286668145"/>
    <n v="-42.806310845486429"/>
    <n v="0"/>
    <n v="0"/>
    <n v="0"/>
    <n v="-42.806310845486429"/>
  </r>
  <r>
    <x v="5"/>
    <d v="2024-07-03T00:00:00"/>
    <d v="2024-07-24T00:00:00"/>
    <x v="13"/>
    <n v="9"/>
    <n v="36"/>
    <n v="1.7695680965781104"/>
    <n v="0.49117878822913336"/>
    <n v="17.682436376248802"/>
    <n v="63.704451476811975"/>
    <n v="-46.022015100563173"/>
    <n v="-3.6885394296791367"/>
    <n v="-49.710554530242312"/>
    <n v="0"/>
    <n v="0"/>
    <n v="0"/>
    <n v="-49.710554530242312"/>
  </r>
  <r>
    <x v="6"/>
    <d v="2024-08-05T00:00:00"/>
    <d v="2024-08-26T00:00:00"/>
    <x v="13"/>
    <n v="9"/>
    <n v="38"/>
    <n v="1.7695680965781104"/>
    <n v="0.49117878822913336"/>
    <n v="18.664793952707068"/>
    <n v="67.243587669968193"/>
    <n v="-48.578793717261121"/>
    <n v="-3.8934582868835332"/>
    <n v="-52.472252004144657"/>
    <n v="0"/>
    <n v="0"/>
    <n v="0"/>
    <n v="-52.472252004144657"/>
  </r>
  <r>
    <x v="7"/>
    <d v="2024-09-04T00:00:00"/>
    <d v="2024-09-24T00:00:00"/>
    <x v="13"/>
    <n v="9"/>
    <n v="41"/>
    <n v="1.7695680965781104"/>
    <n v="0.49117878822913336"/>
    <n v="20.138330317394466"/>
    <n v="72.552291959702529"/>
    <n v="-52.413961642308067"/>
    <n v="-4.200836572690128"/>
    <n v="-56.614798214998196"/>
    <n v="0"/>
    <n v="0"/>
    <n v="0"/>
    <n v="-56.614798214998196"/>
  </r>
  <r>
    <x v="8"/>
    <d v="2024-10-03T00:00:00"/>
    <d v="2024-10-24T00:00:00"/>
    <x v="13"/>
    <n v="9"/>
    <n v="29"/>
    <n v="1.7695680965781104"/>
    <n v="0.49117878822913336"/>
    <n v="14.244184858644868"/>
    <n v="51.317474800765204"/>
    <n v="-37.07328994212034"/>
    <n v="-2.9713234294637485"/>
    <n v="-40.044613371584092"/>
    <n v="0"/>
    <n v="0"/>
    <n v="0"/>
    <n v="-40.044613371584092"/>
  </r>
  <r>
    <x v="9"/>
    <d v="2024-11-05T00:00:00"/>
    <d v="2024-11-25T00:00:00"/>
    <x v="13"/>
    <n v="9"/>
    <n v="26"/>
    <n v="1.7695680965781104"/>
    <n v="0.49117878822913336"/>
    <n v="12.770648493957466"/>
    <n v="46.008770511030875"/>
    <n v="-33.238122017073408"/>
    <n v="-2.6639451436571542"/>
    <n v="-35.90206716073056"/>
    <n v="0"/>
    <n v="0"/>
    <n v="0"/>
    <n v="-35.90206716073056"/>
  </r>
  <r>
    <x v="10"/>
    <d v="2024-12-04T00:00:00"/>
    <d v="2024-12-24T00:00:00"/>
    <x v="13"/>
    <n v="9"/>
    <n v="22"/>
    <n v="1.7695680965781104"/>
    <n v="0.49117878822913336"/>
    <n v="10.805933341040934"/>
    <n v="38.930498124718426"/>
    <n v="-28.124564783677492"/>
    <n v="-2.2541074292483612"/>
    <n v="-30.378672212925853"/>
    <n v="0"/>
    <n v="0"/>
    <n v="0"/>
    <n v="-30.378672212925853"/>
  </r>
  <r>
    <x v="11"/>
    <d v="2025-01-03T00:00:00"/>
    <d v="2025-01-24T00:00:00"/>
    <x v="13"/>
    <n v="9"/>
    <n v="18"/>
    <n v="1.7695680965781104"/>
    <n v="0.49117878822913336"/>
    <n v="8.841218188124401"/>
    <n v="31.852225738405988"/>
    <n v="-23.011007550281587"/>
    <n v="-1.8442697148395684"/>
    <n v="-24.855277265121156"/>
    <n v="0"/>
    <n v="0"/>
    <n v="0"/>
    <n v="-24.855277265121156"/>
  </r>
  <r>
    <x v="0"/>
    <d v="2024-02-05T00:00:00"/>
    <d v="2024-02-26T00:00:00"/>
    <x v="14"/>
    <n v="9"/>
    <n v="34"/>
    <n v="1.7695680965781104"/>
    <n v="0.49117878822913336"/>
    <n v="16.700078799790536"/>
    <n v="60.165315283655758"/>
    <n v="-43.465236483865226"/>
    <n v="-3.4836205724747402"/>
    <n v="-46.948857056339968"/>
    <n v="0"/>
    <n v="0"/>
    <n v="0"/>
    <n v="-46.948857056339968"/>
  </r>
  <r>
    <x v="1"/>
    <d v="2024-03-05T00:00:00"/>
    <d v="2024-03-25T00:00:00"/>
    <x v="14"/>
    <n v="9"/>
    <n v="32"/>
    <n v="1.7695680965781104"/>
    <n v="0.49117878822913336"/>
    <n v="15.717721223332267"/>
    <n v="56.626179090499534"/>
    <n v="-40.908457867167265"/>
    <n v="-3.2787017152703437"/>
    <n v="-44.187159582437609"/>
    <n v="0"/>
    <n v="0"/>
    <n v="0"/>
    <n v="-44.187159582437609"/>
  </r>
  <r>
    <x v="2"/>
    <d v="2024-04-03T00:00:00"/>
    <d v="2024-04-24T00:00:00"/>
    <x v="14"/>
    <n v="9"/>
    <n v="32"/>
    <n v="1.7695680965781104"/>
    <n v="0.49117878822913336"/>
    <n v="15.717721223332267"/>
    <n v="56.626179090499534"/>
    <n v="-40.908457867167265"/>
    <n v="-3.2787017152703437"/>
    <n v="-44.187159582437609"/>
    <n v="0"/>
    <n v="0"/>
    <n v="0"/>
    <n v="-44.187159582437609"/>
  </r>
  <r>
    <x v="3"/>
    <d v="2024-05-03T00:00:00"/>
    <d v="2024-05-24T00:00:00"/>
    <x v="14"/>
    <n v="9"/>
    <n v="33"/>
    <n v="1.7695680965781104"/>
    <n v="0.49117878822913336"/>
    <n v="16.208900011561401"/>
    <n v="58.395747187077646"/>
    <n v="-42.186847175516249"/>
    <n v="-3.3811611438725415"/>
    <n v="-45.568008319388788"/>
    <n v="0"/>
    <n v="0"/>
    <n v="0"/>
    <n v="-45.568008319388788"/>
  </r>
  <r>
    <x v="4"/>
    <d v="2024-06-05T00:00:00"/>
    <d v="2024-06-24T00:00:00"/>
    <x v="14"/>
    <n v="9"/>
    <n v="40"/>
    <n v="1.7695680965781104"/>
    <n v="0.49117878822913336"/>
    <n v="19.647151529165335"/>
    <n v="70.782723863124417"/>
    <n v="-51.135572333959082"/>
    <n v="-4.0983771440879293"/>
    <n v="-55.233949478047009"/>
    <n v="0"/>
    <n v="0"/>
    <n v="0"/>
    <n v="-55.233949478047009"/>
  </r>
  <r>
    <x v="5"/>
    <d v="2024-07-03T00:00:00"/>
    <d v="2024-07-24T00:00:00"/>
    <x v="14"/>
    <n v="9"/>
    <n v="47"/>
    <n v="1.7695680965781104"/>
    <n v="0.49117878822913336"/>
    <n v="23.085403046769269"/>
    <n v="83.169700539171188"/>
    <n v="-60.084297492401916"/>
    <n v="-4.8155931443033175"/>
    <n v="-64.899890636705237"/>
    <n v="0"/>
    <n v="0"/>
    <n v="0"/>
    <n v="-64.899890636705237"/>
  </r>
  <r>
    <x v="6"/>
    <d v="2024-08-05T00:00:00"/>
    <d v="2024-08-26T00:00:00"/>
    <x v="14"/>
    <n v="9"/>
    <n v="47"/>
    <n v="1.7695680965781104"/>
    <n v="0.49117878822913336"/>
    <n v="23.085403046769269"/>
    <n v="83.169700539171188"/>
    <n v="-60.084297492401916"/>
    <n v="-4.8155931443033175"/>
    <n v="-64.899890636705237"/>
    <n v="0"/>
    <n v="0"/>
    <n v="0"/>
    <n v="-64.899890636705237"/>
  </r>
  <r>
    <x v="7"/>
    <d v="2024-09-04T00:00:00"/>
    <d v="2024-09-24T00:00:00"/>
    <x v="14"/>
    <n v="9"/>
    <n v="51"/>
    <n v="1.7695680965781104"/>
    <n v="0.49117878822913336"/>
    <n v="25.050118199685802"/>
    <n v="90.247972925483637"/>
    <n v="-65.197854725797839"/>
    <n v="-5.2254308587121097"/>
    <n v="-70.423285584509955"/>
    <n v="0"/>
    <n v="0"/>
    <n v="0"/>
    <n v="-70.423285584509955"/>
  </r>
  <r>
    <x v="8"/>
    <d v="2024-10-03T00:00:00"/>
    <d v="2024-10-24T00:00:00"/>
    <x v="14"/>
    <n v="9"/>
    <n v="43"/>
    <n v="1.7695680965781104"/>
    <n v="0.49117878822913336"/>
    <n v="21.120687893852736"/>
    <n v="76.091428152858754"/>
    <n v="-54.970740259006021"/>
    <n v="-4.4057554298945245"/>
    <n v="-59.376495688900548"/>
    <n v="0"/>
    <n v="0"/>
    <n v="0"/>
    <n v="-59.376495688900548"/>
  </r>
  <r>
    <x v="9"/>
    <d v="2024-11-05T00:00:00"/>
    <d v="2024-11-25T00:00:00"/>
    <x v="14"/>
    <n v="9"/>
    <n v="37"/>
    <n v="1.7695680965781104"/>
    <n v="0.49117878822913336"/>
    <n v="18.173615164477933"/>
    <n v="65.47401957339008"/>
    <n v="-47.300404408912144"/>
    <n v="-3.7909988582813345"/>
    <n v="-51.091403267193478"/>
    <n v="0"/>
    <n v="0"/>
    <n v="0"/>
    <n v="-51.091403267193478"/>
  </r>
  <r>
    <x v="10"/>
    <d v="2024-12-04T00:00:00"/>
    <d v="2024-12-24T00:00:00"/>
    <x v="14"/>
    <n v="9"/>
    <n v="34"/>
    <n v="1.7695680965781104"/>
    <n v="0.49117878822913336"/>
    <n v="16.700078799790536"/>
    <n v="60.165315283655758"/>
    <n v="-43.465236483865226"/>
    <n v="-3.4836205724747402"/>
    <n v="-46.948857056339968"/>
    <n v="0"/>
    <n v="0"/>
    <n v="0"/>
    <n v="-46.948857056339968"/>
  </r>
  <r>
    <x v="11"/>
    <d v="2025-01-03T00:00:00"/>
    <d v="2025-01-24T00:00:00"/>
    <x v="14"/>
    <n v="9"/>
    <n v="32"/>
    <n v="1.7695680965781104"/>
    <n v="0.49117878822913336"/>
    <n v="15.717721223332267"/>
    <n v="56.626179090499534"/>
    <n v="-40.908457867167265"/>
    <n v="-3.2787017152703437"/>
    <n v="-44.187159582437609"/>
    <n v="0"/>
    <n v="0"/>
    <n v="0"/>
    <n v="-44.187159582437609"/>
  </r>
  <r>
    <x v="0"/>
    <d v="2024-02-05T00:00:00"/>
    <d v="2024-02-26T00:00:00"/>
    <x v="15"/>
    <n v="9"/>
    <n v="104"/>
    <n v="1.7695680965781104"/>
    <n v="0.49117878822913336"/>
    <n v="51.082593975829866"/>
    <n v="184.0350820441235"/>
    <n v="-132.95248806829363"/>
    <n v="-10.655780574628617"/>
    <n v="-143.60826864292224"/>
    <n v="0"/>
    <n v="0"/>
    <n v="0"/>
    <n v="-143.60826864292224"/>
  </r>
  <r>
    <x v="1"/>
    <d v="2024-03-05T00:00:00"/>
    <d v="2024-03-25T00:00:00"/>
    <x v="15"/>
    <n v="9"/>
    <n v="99"/>
    <n v="1.7695680965781104"/>
    <n v="0.49117878822913336"/>
    <n v="48.626700034684205"/>
    <n v="175.18724156123292"/>
    <n v="-126.56054152654872"/>
    <n v="-10.143483431617625"/>
    <n v="-136.70402495816634"/>
    <n v="0"/>
    <n v="0"/>
    <n v="0"/>
    <n v="-136.70402495816634"/>
  </r>
  <r>
    <x v="2"/>
    <d v="2024-04-03T00:00:00"/>
    <d v="2024-04-24T00:00:00"/>
    <x v="15"/>
    <n v="9"/>
    <n v="99"/>
    <n v="1.7695680965781104"/>
    <n v="0.49117878822913336"/>
    <n v="48.626700034684205"/>
    <n v="175.18724156123292"/>
    <n v="-126.56054152654872"/>
    <n v="-10.143483431617625"/>
    <n v="-136.70402495816634"/>
    <n v="0"/>
    <n v="0"/>
    <n v="0"/>
    <n v="-136.70402495816634"/>
  </r>
  <r>
    <x v="3"/>
    <d v="2024-05-03T00:00:00"/>
    <d v="2024-05-24T00:00:00"/>
    <x v="15"/>
    <n v="9"/>
    <n v="99"/>
    <n v="1.7695680965781104"/>
    <n v="0.49117878822913336"/>
    <n v="48.626700034684205"/>
    <n v="175.18724156123292"/>
    <n v="-126.56054152654872"/>
    <n v="-10.143483431617625"/>
    <n v="-136.70402495816634"/>
    <n v="0"/>
    <n v="0"/>
    <n v="0"/>
    <n v="-136.70402495816634"/>
  </r>
  <r>
    <x v="4"/>
    <d v="2024-06-05T00:00:00"/>
    <d v="2024-06-24T00:00:00"/>
    <x v="15"/>
    <n v="9"/>
    <n v="106"/>
    <n v="1.7695680965781104"/>
    <n v="0.49117878822913336"/>
    <n v="52.064951552288136"/>
    <n v="187.57421823727969"/>
    <n v="-135.50926668499156"/>
    <n v="-10.860699431833014"/>
    <n v="-146.36996611682457"/>
    <n v="0"/>
    <n v="0"/>
    <n v="0"/>
    <n v="-146.36996611682457"/>
  </r>
  <r>
    <x v="5"/>
    <d v="2024-07-03T00:00:00"/>
    <d v="2024-07-24T00:00:00"/>
    <x v="15"/>
    <n v="9"/>
    <n v="120"/>
    <n v="1.7695680965781104"/>
    <n v="0.49117878822913336"/>
    <n v="58.941454587496004"/>
    <n v="212.34817158937324"/>
    <n v="-153.40671700187724"/>
    <n v="-12.295131432263789"/>
    <n v="-165.70184843414103"/>
    <n v="0"/>
    <n v="0"/>
    <n v="0"/>
    <n v="-165.70184843414103"/>
  </r>
  <r>
    <x v="6"/>
    <d v="2024-08-05T00:00:00"/>
    <d v="2024-08-26T00:00:00"/>
    <x v="15"/>
    <n v="9"/>
    <n v="117"/>
    <n v="1.7695680965781104"/>
    <n v="0.49117878822913336"/>
    <n v="57.467918222808599"/>
    <n v="207.03946729963891"/>
    <n v="-149.57154907683031"/>
    <n v="-11.987753146457194"/>
    <n v="-161.55930222328749"/>
    <n v="0"/>
    <n v="0"/>
    <n v="0"/>
    <n v="-161.55930222328749"/>
  </r>
  <r>
    <x v="7"/>
    <d v="2024-09-04T00:00:00"/>
    <d v="2024-09-24T00:00:00"/>
    <x v="15"/>
    <n v="9"/>
    <n v="118"/>
    <n v="1.7695680965781104"/>
    <n v="0.49117878822913336"/>
    <n v="57.959097011037734"/>
    <n v="208.80903539621704"/>
    <n v="-150.84993838517931"/>
    <n v="-12.090212575059391"/>
    <n v="-162.9401509602387"/>
    <n v="0"/>
    <n v="0"/>
    <n v="0"/>
    <n v="-162.9401509602387"/>
  </r>
  <r>
    <x v="8"/>
    <d v="2024-10-03T00:00:00"/>
    <d v="2024-10-24T00:00:00"/>
    <x v="15"/>
    <n v="9"/>
    <n v="117"/>
    <n v="1.7695680965781104"/>
    <n v="0.49117878822913336"/>
    <n v="57.467918222808599"/>
    <n v="207.03946729963891"/>
    <n v="-149.57154907683031"/>
    <n v="-11.987753146457194"/>
    <n v="-161.55930222328749"/>
    <n v="0"/>
    <n v="0"/>
    <n v="0"/>
    <n v="-161.55930222328749"/>
  </r>
  <r>
    <x v="9"/>
    <d v="2024-11-05T00:00:00"/>
    <d v="2024-11-25T00:00:00"/>
    <x v="15"/>
    <n v="9"/>
    <n v="107"/>
    <n v="1.7695680965781104"/>
    <n v="0.49117878822913336"/>
    <n v="52.556130340517271"/>
    <n v="189.34378633385782"/>
    <n v="-136.78765599334054"/>
    <n v="-10.963158860435211"/>
    <n v="-147.75081485377575"/>
    <n v="0"/>
    <n v="0"/>
    <n v="0"/>
    <n v="-147.75081485377575"/>
  </r>
  <r>
    <x v="10"/>
    <d v="2024-12-04T00:00:00"/>
    <d v="2024-12-24T00:00:00"/>
    <x v="15"/>
    <n v="9"/>
    <n v="91"/>
    <n v="1.7695680965781104"/>
    <n v="0.49117878822913336"/>
    <n v="44.697269728851133"/>
    <n v="161.03069678860805"/>
    <n v="-116.33342705975693"/>
    <n v="-9.323808002800039"/>
    <n v="-125.65723506255696"/>
    <n v="0"/>
    <n v="0"/>
    <n v="0"/>
    <n v="-125.65723506255696"/>
  </r>
  <r>
    <x v="11"/>
    <d v="2025-01-03T00:00:00"/>
    <d v="2025-01-24T00:00:00"/>
    <x v="15"/>
    <n v="9"/>
    <n v="102"/>
    <n v="1.7695680965781104"/>
    <n v="0.49117878822913336"/>
    <n v="50.100236399371603"/>
    <n v="180.49594585096727"/>
    <n v="-130.39570945159568"/>
    <n v="-10.450861717424219"/>
    <n v="-140.84657116901991"/>
    <n v="0"/>
    <n v="0"/>
    <n v="0"/>
    <n v="-140.84657116901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4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Q19" sqref="A1:Q19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65</v>
      </c>
    </row>
    <row r="3" spans="1:2" x14ac:dyDescent="0.25">
      <c r="A3" s="2">
        <v>1</v>
      </c>
      <c r="B3" s="3" t="s">
        <v>67</v>
      </c>
    </row>
    <row r="4" spans="1:2" ht="13" x14ac:dyDescent="0.3">
      <c r="A4" s="2">
        <v>2</v>
      </c>
      <c r="B4" s="3" t="s">
        <v>66</v>
      </c>
    </row>
    <row r="5" spans="1:2" ht="13" x14ac:dyDescent="0.3">
      <c r="A5" s="2">
        <v>3</v>
      </c>
      <c r="B5" s="3" t="s">
        <v>68</v>
      </c>
    </row>
    <row r="6" spans="1:2" ht="13" x14ac:dyDescent="0.3">
      <c r="A6" s="2">
        <v>4</v>
      </c>
      <c r="B6" s="4" t="s">
        <v>82</v>
      </c>
    </row>
    <row r="7" spans="1:2" x14ac:dyDescent="0.25">
      <c r="A7" s="2">
        <v>5</v>
      </c>
      <c r="B7" s="3" t="s">
        <v>69</v>
      </c>
    </row>
    <row r="8" spans="1:2" x14ac:dyDescent="0.25">
      <c r="A8" s="2">
        <v>6</v>
      </c>
      <c r="B8" s="3" t="s">
        <v>70</v>
      </c>
    </row>
    <row r="9" spans="1:2" x14ac:dyDescent="0.25">
      <c r="A9" s="2">
        <v>7</v>
      </c>
      <c r="B9" s="5" t="s">
        <v>71</v>
      </c>
    </row>
    <row r="10" spans="1:2" ht="13" x14ac:dyDescent="0.3">
      <c r="A10" s="2">
        <v>8</v>
      </c>
      <c r="B10" s="3" t="s">
        <v>74</v>
      </c>
    </row>
    <row r="11" spans="1:2" x14ac:dyDescent="0.25">
      <c r="A11" s="2"/>
      <c r="B11" s="3" t="s">
        <v>75</v>
      </c>
    </row>
    <row r="12" spans="1:2" x14ac:dyDescent="0.25">
      <c r="A12" s="2"/>
      <c r="B12" s="5" t="s">
        <v>76</v>
      </c>
    </row>
    <row r="13" spans="1:2" x14ac:dyDescent="0.25">
      <c r="A13" s="2"/>
      <c r="B13" s="5" t="s">
        <v>77</v>
      </c>
    </row>
    <row r="14" spans="1:2" x14ac:dyDescent="0.25">
      <c r="A14" s="2">
        <v>9</v>
      </c>
      <c r="B14" s="3" t="s">
        <v>78</v>
      </c>
    </row>
    <row r="15" spans="1:2" x14ac:dyDescent="0.25">
      <c r="A15" s="2">
        <v>10</v>
      </c>
      <c r="B15" s="3" t="s">
        <v>80</v>
      </c>
    </row>
    <row r="16" spans="1:2" x14ac:dyDescent="0.25">
      <c r="A16" s="2">
        <v>11</v>
      </c>
      <c r="B16" s="3" t="s">
        <v>81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2646-0328-413C-A790-1EA6BFF5529F}">
  <dimension ref="A1:E22"/>
  <sheetViews>
    <sheetView workbookViewId="0">
      <selection activeCell="A3" sqref="A3"/>
    </sheetView>
  </sheetViews>
  <sheetFormatPr defaultColWidth="8.7265625" defaultRowHeight="12.5" x14ac:dyDescent="0.25"/>
  <cols>
    <col min="1" max="1" width="51.54296875" style="210" bestFit="1" customWidth="1"/>
    <col min="2" max="2" width="6" style="210" bestFit="1" customWidth="1"/>
    <col min="3" max="3" width="14.1796875" style="210" bestFit="1" customWidth="1"/>
    <col min="4" max="4" width="12.7265625" style="210" bestFit="1" customWidth="1"/>
    <col min="5" max="5" width="10.54296875" style="210" bestFit="1" customWidth="1"/>
    <col min="6" max="16384" width="8.7265625" style="210"/>
  </cols>
  <sheetData>
    <row r="1" spans="1:5" x14ac:dyDescent="0.25">
      <c r="C1" s="210" t="s">
        <v>100</v>
      </c>
      <c r="D1" s="210" t="s">
        <v>101</v>
      </c>
      <c r="E1" s="210" t="s">
        <v>99</v>
      </c>
    </row>
    <row r="2" spans="1:5" ht="37.5" x14ac:dyDescent="0.25">
      <c r="A2" s="210" t="s">
        <v>106</v>
      </c>
      <c r="B2" s="229" t="s">
        <v>105</v>
      </c>
      <c r="C2" s="211">
        <v>0</v>
      </c>
      <c r="D2" s="211">
        <v>0</v>
      </c>
      <c r="E2" s="212">
        <f>C2+D2</f>
        <v>0</v>
      </c>
    </row>
    <row r="3" spans="1:5" ht="13" thickBot="1" x14ac:dyDescent="0.3"/>
    <row r="4" spans="1:5" x14ac:dyDescent="0.25">
      <c r="A4" s="213" t="s">
        <v>14</v>
      </c>
      <c r="B4" s="214">
        <f>0.074+0.018</f>
        <v>9.1999999999999998E-2</v>
      </c>
      <c r="C4" s="212">
        <f>$C$2*B4</f>
        <v>0</v>
      </c>
      <c r="D4" s="212">
        <f>$D$2*B4</f>
        <v>0</v>
      </c>
      <c r="E4" s="212">
        <f t="shared" ref="E4:E20" si="0">C4+D4</f>
        <v>0</v>
      </c>
    </row>
    <row r="5" spans="1:5" x14ac:dyDescent="0.25">
      <c r="A5" s="215" t="s">
        <v>85</v>
      </c>
      <c r="B5" s="216">
        <v>5.0000000000000001E-3</v>
      </c>
      <c r="C5" s="212">
        <f t="shared" ref="C5:C16" si="1">$C$2*B5</f>
        <v>0</v>
      </c>
      <c r="D5" s="212">
        <f t="shared" ref="D5:D16" si="2">$D$2*B5</f>
        <v>0</v>
      </c>
      <c r="E5" s="212">
        <f t="shared" si="0"/>
        <v>0</v>
      </c>
    </row>
    <row r="6" spans="1:5" x14ac:dyDescent="0.25">
      <c r="A6" s="215" t="s">
        <v>56</v>
      </c>
      <c r="B6" s="216">
        <v>1.4999999999999999E-2</v>
      </c>
      <c r="C6" s="212">
        <f t="shared" si="1"/>
        <v>0</v>
      </c>
      <c r="D6" s="212">
        <f t="shared" si="2"/>
        <v>0</v>
      </c>
      <c r="E6" s="212">
        <f t="shared" si="0"/>
        <v>0</v>
      </c>
    </row>
    <row r="7" spans="1:5" x14ac:dyDescent="0.25">
      <c r="A7" s="217" t="s">
        <v>17</v>
      </c>
      <c r="B7" s="214">
        <v>1.2999999999999999E-2</v>
      </c>
      <c r="C7" s="212">
        <f t="shared" si="1"/>
        <v>0</v>
      </c>
      <c r="D7" s="212">
        <f t="shared" si="2"/>
        <v>0</v>
      </c>
      <c r="E7" s="212">
        <f t="shared" si="0"/>
        <v>0</v>
      </c>
    </row>
    <row r="8" spans="1:5" x14ac:dyDescent="0.25">
      <c r="A8" s="215" t="s">
        <v>13</v>
      </c>
      <c r="B8" s="216">
        <v>0.10199999999999999</v>
      </c>
      <c r="C8" s="212">
        <f t="shared" si="1"/>
        <v>0</v>
      </c>
      <c r="D8" s="212">
        <f t="shared" si="2"/>
        <v>0</v>
      </c>
      <c r="E8" s="212">
        <f t="shared" si="0"/>
        <v>0</v>
      </c>
    </row>
    <row r="9" spans="1:5" x14ac:dyDescent="0.25">
      <c r="A9" s="217" t="s">
        <v>15</v>
      </c>
      <c r="B9" s="214">
        <v>1E-3</v>
      </c>
      <c r="C9" s="212">
        <f t="shared" si="1"/>
        <v>0</v>
      </c>
      <c r="D9" s="212">
        <f t="shared" si="2"/>
        <v>0</v>
      </c>
      <c r="E9" s="212">
        <f t="shared" si="0"/>
        <v>0</v>
      </c>
    </row>
    <row r="10" spans="1:5" x14ac:dyDescent="0.25">
      <c r="A10" s="217" t="s">
        <v>59</v>
      </c>
      <c r="B10" s="214">
        <v>5.0000000000000001E-3</v>
      </c>
      <c r="C10" s="212">
        <f t="shared" si="1"/>
        <v>0</v>
      </c>
      <c r="D10" s="212">
        <f t="shared" si="2"/>
        <v>0</v>
      </c>
      <c r="E10" s="212">
        <f t="shared" si="0"/>
        <v>0</v>
      </c>
    </row>
    <row r="11" spans="1:5" x14ac:dyDescent="0.25">
      <c r="A11" s="217" t="s">
        <v>16</v>
      </c>
      <c r="B11" s="214">
        <v>0</v>
      </c>
      <c r="C11" s="212">
        <f t="shared" si="1"/>
        <v>0</v>
      </c>
      <c r="D11" s="212">
        <f t="shared" si="2"/>
        <v>0</v>
      </c>
      <c r="E11" s="212">
        <f t="shared" si="0"/>
        <v>0</v>
      </c>
    </row>
    <row r="12" spans="1:5" x14ac:dyDescent="0.25">
      <c r="A12" s="215" t="s">
        <v>58</v>
      </c>
      <c r="B12" s="216">
        <v>3.0000000000000001E-3</v>
      </c>
      <c r="C12" s="212">
        <f t="shared" si="1"/>
        <v>0</v>
      </c>
      <c r="D12" s="212">
        <f t="shared" si="2"/>
        <v>0</v>
      </c>
      <c r="E12" s="212">
        <f t="shared" si="0"/>
        <v>0</v>
      </c>
    </row>
    <row r="13" spans="1:5" x14ac:dyDescent="0.25">
      <c r="A13" s="215" t="s">
        <v>19</v>
      </c>
      <c r="B13" s="216">
        <f>0.003+0.002</f>
        <v>5.0000000000000001E-3</v>
      </c>
      <c r="C13" s="212">
        <f t="shared" si="1"/>
        <v>0</v>
      </c>
      <c r="D13" s="212">
        <f t="shared" si="2"/>
        <v>0</v>
      </c>
      <c r="E13" s="212">
        <f t="shared" si="0"/>
        <v>0</v>
      </c>
    </row>
    <row r="14" spans="1:5" x14ac:dyDescent="0.25">
      <c r="A14" s="217" t="s">
        <v>8</v>
      </c>
      <c r="B14" s="214">
        <v>1.2999999999999999E-2</v>
      </c>
      <c r="C14" s="212">
        <f t="shared" si="1"/>
        <v>0</v>
      </c>
      <c r="D14" s="212">
        <f t="shared" si="2"/>
        <v>0</v>
      </c>
      <c r="E14" s="212">
        <f t="shared" si="0"/>
        <v>0</v>
      </c>
    </row>
    <row r="15" spans="1:5" x14ac:dyDescent="0.25">
      <c r="A15" s="217" t="s">
        <v>57</v>
      </c>
      <c r="B15" s="214">
        <v>1E-3</v>
      </c>
      <c r="C15" s="212">
        <f t="shared" si="1"/>
        <v>0</v>
      </c>
      <c r="D15" s="212">
        <f t="shared" si="2"/>
        <v>0</v>
      </c>
      <c r="E15" s="212">
        <f t="shared" si="0"/>
        <v>0</v>
      </c>
    </row>
    <row r="16" spans="1:5" x14ac:dyDescent="0.25">
      <c r="A16" s="218" t="s">
        <v>9</v>
      </c>
      <c r="B16" s="214">
        <v>5.0000000000000001E-3</v>
      </c>
      <c r="C16" s="212">
        <f t="shared" si="1"/>
        <v>0</v>
      </c>
      <c r="D16" s="212">
        <f t="shared" si="2"/>
        <v>0</v>
      </c>
      <c r="E16" s="212">
        <f t="shared" si="0"/>
        <v>0</v>
      </c>
    </row>
    <row r="17" spans="1:5" ht="23" x14ac:dyDescent="0.25">
      <c r="A17" s="219" t="s">
        <v>44</v>
      </c>
      <c r="B17" s="220"/>
      <c r="C17" s="221">
        <f>SUM(C4:C16)</f>
        <v>0</v>
      </c>
      <c r="D17" s="221">
        <f>SUM(D4:D16)</f>
        <v>0</v>
      </c>
      <c r="E17" s="221">
        <f>SUM(E4:E16)</f>
        <v>0</v>
      </c>
    </row>
    <row r="18" spans="1:5" x14ac:dyDescent="0.25">
      <c r="A18" s="222" t="s">
        <v>21</v>
      </c>
      <c r="B18" s="216">
        <v>0.37</v>
      </c>
      <c r="C18" s="212">
        <f>$C$2*B18</f>
        <v>0</v>
      </c>
      <c r="D18" s="212">
        <f>$D$2*B18</f>
        <v>0</v>
      </c>
      <c r="E18" s="212">
        <f t="shared" si="0"/>
        <v>0</v>
      </c>
    </row>
    <row r="19" spans="1:5" x14ac:dyDescent="0.25">
      <c r="A19" s="217" t="s">
        <v>22</v>
      </c>
      <c r="B19" s="214">
        <v>0.35399999999999998</v>
      </c>
      <c r="C19" s="212">
        <f t="shared" ref="C19:C20" si="3">$C$2*B19</f>
        <v>0</v>
      </c>
      <c r="D19" s="212">
        <f t="shared" ref="D19:D20" si="4">$D$2*B19</f>
        <v>0</v>
      </c>
      <c r="E19" s="212">
        <f t="shared" si="0"/>
        <v>0</v>
      </c>
    </row>
    <row r="20" spans="1:5" x14ac:dyDescent="0.25">
      <c r="A20" s="218" t="s">
        <v>83</v>
      </c>
      <c r="B20" s="214">
        <v>1.6E-2</v>
      </c>
      <c r="C20" s="212">
        <f t="shared" si="3"/>
        <v>0</v>
      </c>
      <c r="D20" s="212">
        <f t="shared" si="4"/>
        <v>0</v>
      </c>
      <c r="E20" s="212">
        <f t="shared" si="0"/>
        <v>0</v>
      </c>
    </row>
    <row r="21" spans="1:5" ht="23" x14ac:dyDescent="0.25">
      <c r="A21" s="219" t="s">
        <v>53</v>
      </c>
      <c r="B21" s="223"/>
      <c r="C21" s="224">
        <f>SUM(C18:C20)</f>
        <v>0</v>
      </c>
      <c r="D21" s="224">
        <f>SUM(D18:D20)</f>
        <v>0</v>
      </c>
      <c r="E21" s="224">
        <f>SUM(E18:E20)</f>
        <v>0</v>
      </c>
    </row>
    <row r="22" spans="1:5" ht="13" thickBot="1" x14ac:dyDescent="0.3">
      <c r="A22" s="225" t="s">
        <v>45</v>
      </c>
      <c r="B22" s="226"/>
      <c r="C22" s="212">
        <f>C17+C21</f>
        <v>0</v>
      </c>
      <c r="D22" s="212">
        <f>D17+D21</f>
        <v>0</v>
      </c>
      <c r="E22" s="212">
        <f>E17+E21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0"/>
  <sheetViews>
    <sheetView tabSelected="1" zoomScale="85" zoomScaleNormal="85" zoomScaleSheetLayoutView="100" workbookViewId="0">
      <selection activeCell="F9" sqref="F9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4" t="str">
        <f>+Transactions!B1</f>
        <v>AEPTCo Formula Rate -- FERC Docket ER18-194</v>
      </c>
      <c r="D1" s="254"/>
      <c r="E1" s="254"/>
      <c r="F1" s="254"/>
      <c r="G1" s="254"/>
      <c r="H1" s="254"/>
      <c r="I1" s="254"/>
      <c r="J1" s="6">
        <v>2024</v>
      </c>
    </row>
    <row r="2" spans="2:17" ht="13" x14ac:dyDescent="0.3">
      <c r="C2" s="254" t="s">
        <v>36</v>
      </c>
      <c r="D2" s="254"/>
      <c r="E2" s="254"/>
      <c r="F2" s="254"/>
      <c r="G2" s="254"/>
      <c r="H2" s="254"/>
      <c r="I2" s="254"/>
    </row>
    <row r="3" spans="2:17" ht="13" x14ac:dyDescent="0.3">
      <c r="C3" s="254" t="str">
        <f>"for period 01/01/"&amp;F8&amp;" - 12/31/"&amp;F8</f>
        <v>for period 01/01/2024 - 12/31/2024</v>
      </c>
      <c r="D3" s="254"/>
      <c r="E3" s="254"/>
      <c r="F3" s="254"/>
      <c r="G3" s="254"/>
      <c r="H3" s="254"/>
      <c r="I3" s="254"/>
    </row>
    <row r="4" spans="2:17" ht="13" x14ac:dyDescent="0.3">
      <c r="C4" s="254" t="s">
        <v>96</v>
      </c>
      <c r="D4" s="254"/>
      <c r="E4" s="254"/>
      <c r="F4" s="254"/>
      <c r="G4" s="254"/>
      <c r="H4" s="254"/>
      <c r="I4" s="254"/>
    </row>
    <row r="5" spans="2:17" x14ac:dyDescent="0.25">
      <c r="C5" s="7" t="str">
        <f>"Prepared:  May 24_, "&amp;J1&amp;""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 t="s">
        <v>104</v>
      </c>
    </row>
    <row r="9" spans="2:17" ht="20.25" customHeight="1" x14ac:dyDescent="0.3">
      <c r="E9" s="12" t="s">
        <v>95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179634.4151780674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43</v>
      </c>
      <c r="E12" s="30"/>
      <c r="F12" s="31">
        <f>+Transactions!J2</f>
        <v>50027.050759925463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1.7695680965781104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42</v>
      </c>
      <c r="E14" s="42"/>
      <c r="F14" s="43">
        <f>+Transactions!J3</f>
        <v>0.49117878822913336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94</v>
      </c>
      <c r="I19" s="54" t="s">
        <v>93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52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41</v>
      </c>
      <c r="G20" s="58" t="s">
        <v>7</v>
      </c>
      <c r="H20" s="227" t="s">
        <v>102</v>
      </c>
      <c r="I20" s="59" t="s">
        <v>46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4741.3488427758239</v>
      </c>
      <c r="E21" s="62">
        <f>GETPIVOTDATA("Sum of "&amp;T(Transactions!$K$19),Pivot!$A$3,"Customer",C21)</f>
        <v>17081.6408362685</v>
      </c>
      <c r="F21" s="62">
        <f>D21-E21</f>
        <v>-12340.291993492676</v>
      </c>
      <c r="G21" s="51">
        <f>+GETPIVOTDATA("Sum of "&amp;T(Transactions!$M$19),Pivot!$A$3,"Customer","AECC")</f>
        <v>-989.04086429701965</v>
      </c>
      <c r="H21" s="51">
        <f>-'20XX NOLC Refund Detail'!D4</f>
        <v>0</v>
      </c>
      <c r="I21" s="63">
        <f>F21+G21+H21</f>
        <v>-13329.332857789695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85</v>
      </c>
      <c r="D22" s="62">
        <f>GETPIVOTDATA("Sum of "&amp;T(Transactions!$J$19),Pivot!$A$3,"Customer",C22)</f>
        <v>242.64232138519188</v>
      </c>
      <c r="E22" s="62">
        <f>GETPIVOTDATA("Sum of "&amp;T(Transactions!$K$19),Pivot!$A$3,"Customer",C22)</f>
        <v>874.16663970958643</v>
      </c>
      <c r="F22" s="62">
        <f>D22-E22</f>
        <v>-631.52431832439459</v>
      </c>
      <c r="G22" s="51">
        <f>+GETPIVOTDATA("Sum of "&amp;T(Transactions!$M$19),Pivot!$A$3,"Customer","AECI")</f>
        <v>-50.61495772948593</v>
      </c>
      <c r="H22" s="51">
        <f>-'20XX NOLC Refund Detail'!D5</f>
        <v>0</v>
      </c>
      <c r="I22" s="63">
        <f t="shared" ref="I22:I33" si="0">F22+G22+H22</f>
        <v>-682.13927605388051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56</v>
      </c>
      <c r="D23" s="62">
        <f>GETPIVOTDATA("Sum of "&amp;T(Transactions!$J$19),Pivot!$A$3,"Customer",C23)</f>
        <v>765.25655206098975</v>
      </c>
      <c r="E23" s="62">
        <f>GETPIVOTDATA("Sum of "&amp;T(Transactions!$K$19),Pivot!$A$3,"Customer",C23)</f>
        <v>2756.9870944686963</v>
      </c>
      <c r="F23" s="62">
        <f t="shared" ref="F23:F35" si="1">D23-E23</f>
        <v>-1991.7305424077067</v>
      </c>
      <c r="G23" s="51">
        <f>+GETPIVOTDATA("Sum of "&amp;T(Transactions!$M$19),Pivot!$A$3,"Customer","Bentonville, AR")</f>
        <v>-159.63178976222483</v>
      </c>
      <c r="H23" s="51">
        <f>-'20XX NOLC Refund Detail'!D6</f>
        <v>0</v>
      </c>
      <c r="I23" s="63">
        <f t="shared" si="0"/>
        <v>-2151.3623321699315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628.21767014506156</v>
      </c>
      <c r="E24" s="62">
        <f>GETPIVOTDATA("Sum of "&amp;T(Transactions!$K$19),Pivot!$A$3,"Customer",C24)</f>
        <v>2263.2775955234033</v>
      </c>
      <c r="F24" s="62">
        <f t="shared" si="1"/>
        <v>-1635.0599253783416</v>
      </c>
      <c r="G24" s="51">
        <f>+GETPIVOTDATA("Sum of "&amp;T(Transactions!$M$19),Pivot!$A$3,"Customer","Coffeyville, KS")</f>
        <v>-131.04560918221156</v>
      </c>
      <c r="H24" s="51">
        <f>-'20XX NOLC Refund Detail'!D7</f>
        <v>0</v>
      </c>
      <c r="I24" s="63">
        <f t="shared" si="0"/>
        <v>-1766.1055345605532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4979.5705550669536</v>
      </c>
      <c r="E25" s="62">
        <f>GETPIVOTDATA("Sum of "&amp;T(Transactions!$K$19),Pivot!$A$3,"Customer",C25)</f>
        <v>17939.881363108881</v>
      </c>
      <c r="F25" s="62">
        <f t="shared" si="1"/>
        <v>-12960.310808041928</v>
      </c>
      <c r="G25" s="51">
        <f>+GETPIVOTDATA("Sum of "&amp;T(Transactions!$M$19),Pivot!$A$3,"Customer","ETEC")</f>
        <v>-1038.7336871690859</v>
      </c>
      <c r="H25" s="51">
        <f>-'20XX NOLC Refund Detail'!D8</f>
        <v>0</v>
      </c>
      <c r="I25" s="63">
        <f t="shared" si="0"/>
        <v>-13999.044495211014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55.012024281662953</v>
      </c>
      <c r="E26" s="62">
        <f>GETPIVOTDATA("Sum of "&amp;T(Transactions!$K$19),Pivot!$A$3,"Customer",C26)</f>
        <v>198.1916268167484</v>
      </c>
      <c r="F26" s="62">
        <f t="shared" si="1"/>
        <v>-143.17960253508545</v>
      </c>
      <c r="G26" s="51">
        <f>+GETPIVOTDATA("Sum of "&amp;T(Transactions!$M$19),Pivot!$A$3,"Customer","Greenbelt")</f>
        <v>-11.475456003446201</v>
      </c>
      <c r="H26" s="51">
        <f>-'20XX NOLC Refund Detail'!D9</f>
        <v>0</v>
      </c>
      <c r="I26" s="63">
        <f t="shared" si="0"/>
        <v>-154.65505853853165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59</v>
      </c>
      <c r="D27" s="62">
        <f>GETPIVOTDATA("Sum of "&amp;T(Transactions!$J$19),Pivot!$A$3,"Customer",C27)</f>
        <v>226.92460016185962</v>
      </c>
      <c r="E27" s="62">
        <f>GETPIVOTDATA("Sum of "&amp;T(Transactions!$K$19),Pivot!$A$3,"Customer",C27)</f>
        <v>817.54046061908707</v>
      </c>
      <c r="F27" s="62">
        <f t="shared" si="1"/>
        <v>-590.61586045722743</v>
      </c>
      <c r="G27" s="51">
        <f>+GETPIVOTDATA("Sum of "&amp;T(Transactions!$M$19),Pivot!$A$3,"Customer","Hope, AR")</f>
        <v>-47.336256014215593</v>
      </c>
      <c r="H27" s="51">
        <f>-'20XX NOLC Refund Detail'!D10</f>
        <v>0</v>
      </c>
      <c r="I27" s="63">
        <f t="shared" si="0"/>
        <v>-637.95211647144299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22.103045470311002</v>
      </c>
      <c r="E28" s="62">
        <f>GETPIVOTDATA("Sum of "&amp;T(Transactions!$K$19),Pivot!$A$3,"Customer",C28)</f>
        <v>79.630564346014978</v>
      </c>
      <c r="F28" s="62">
        <f t="shared" si="1"/>
        <v>-57.527518875703976</v>
      </c>
      <c r="G28" s="51">
        <f>+GETPIVOTDATA("Sum of "&amp;T(Transactions!$M$19),Pivot!$A$3,"Customer","Lighthouse")</f>
        <v>-4.6106742870989201</v>
      </c>
      <c r="H28" s="51">
        <f>-'20XX NOLC Refund Detail'!D11</f>
        <v>0</v>
      </c>
      <c r="I28" s="63">
        <f t="shared" si="0"/>
        <v>-62.138193162802892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58</v>
      </c>
      <c r="D29" s="62">
        <f>GETPIVOTDATA("Sum of "&amp;T(Transactions!$J$19),Pivot!$A$3,"Customer",C29)</f>
        <v>160.12428496269749</v>
      </c>
      <c r="E29" s="62">
        <f>GETPIVOTDATA("Sum of "&amp;T(Transactions!$K$19),Pivot!$A$3,"Customer",C29)</f>
        <v>576.87919948446404</v>
      </c>
      <c r="F29" s="62">
        <f t="shared" si="1"/>
        <v>-416.75491452176652</v>
      </c>
      <c r="G29" s="51">
        <f>+GETPIVOTDATA("Sum of "&amp;T(Transactions!$M$19),Pivot!$A$3,"Customer","Minden, LA")</f>
        <v>-33.401773724316627</v>
      </c>
      <c r="H29" s="51">
        <f>-'20XX NOLC Refund Detail'!D12</f>
        <v>0</v>
      </c>
      <c r="I29" s="63">
        <f t="shared" si="0"/>
        <v>-450.15668824608315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387.04888512455716</v>
      </c>
      <c r="E30" s="62">
        <f>GETPIVOTDATA("Sum of "&amp;T(Transactions!$K$19),Pivot!$A$3,"Customer",C30)</f>
        <v>1394.4196601035512</v>
      </c>
      <c r="F30" s="62">
        <f t="shared" si="1"/>
        <v>-1007.3707749789941</v>
      </c>
      <c r="G30" s="51">
        <f>+GETPIVOTDATA("Sum of "&amp;T(Transactions!$M$19),Pivot!$A$3,"Customer","OG&amp;E")</f>
        <v>-80.738029738532219</v>
      </c>
      <c r="H30" s="51">
        <f>-'20XX NOLC Refund Detail'!D13</f>
        <v>0</v>
      </c>
      <c r="I30" s="63">
        <f t="shared" si="0"/>
        <v>-1088.1088047175263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627.7264913568323</v>
      </c>
      <c r="E31" s="62">
        <f>GETPIVOTDATA("Sum of "&amp;T(Transactions!$K$19),Pivot!$A$3,"Customer",C31)</f>
        <v>2261.5080274268253</v>
      </c>
      <c r="F31" s="62">
        <f t="shared" si="1"/>
        <v>-1633.7815360699929</v>
      </c>
      <c r="G31" s="51">
        <f>+GETPIVOTDATA("Sum of "&amp;T(Transactions!$M$19),Pivot!$A$3,"Customer","OMPA")</f>
        <v>-130.94314975360933</v>
      </c>
      <c r="H31" s="51">
        <f>-'20XX NOLC Refund Detail'!D14</f>
        <v>0</v>
      </c>
      <c r="I31" s="63">
        <f t="shared" si="0"/>
        <v>-1764.7246858236022</v>
      </c>
      <c r="J31" s="60"/>
    </row>
    <row r="32" spans="2:17" x14ac:dyDescent="0.25">
      <c r="B32" s="60"/>
      <c r="C32" s="61" t="s">
        <v>57</v>
      </c>
      <c r="D32" s="62">
        <f>GETPIVOTDATA("Sum of "&amp;T(Transactions!$J$19),Pivot!$A$3,"Customer",C32)</f>
        <v>58.450275799266876</v>
      </c>
      <c r="E32" s="62">
        <f>GETPIVOTDATA("Sum of "&amp;T(Transactions!$K$19),Pivot!$A$3,"Customer",C32)</f>
        <v>210.57860349279511</v>
      </c>
      <c r="F32" s="62">
        <f t="shared" si="1"/>
        <v>-152.12832769352823</v>
      </c>
      <c r="G32" s="51">
        <f>+GETPIVOTDATA("Sum of "&amp;T(Transactions!$M$19),Pivot!$A$3,"Customer","Prescott, AR")</f>
        <v>-12.192672003661588</v>
      </c>
      <c r="H32" s="51">
        <f>-'20XX NOLC Refund Detail'!D15</f>
        <v>0</v>
      </c>
      <c r="I32" s="63">
        <f t="shared" si="0"/>
        <v>-164.32099969718982</v>
      </c>
      <c r="J32" s="60"/>
    </row>
    <row r="33" spans="2:10" x14ac:dyDescent="0.25">
      <c r="B33" s="60"/>
      <c r="C33" s="66" t="s">
        <v>9</v>
      </c>
      <c r="D33" s="62">
        <f>GETPIVOTDATA("Sum of "&amp;T(Transactions!$J$19),Pivot!$A$3,"Customer",C33)</f>
        <v>315.82796083133275</v>
      </c>
      <c r="E33" s="62">
        <f>GETPIVOTDATA("Sum of "&amp;T(Transactions!$K$19),Pivot!$A$3,"Customer",C33)</f>
        <v>1137.8322860997253</v>
      </c>
      <c r="F33" s="62">
        <f t="shared" si="1"/>
        <v>-822.00432526839245</v>
      </c>
      <c r="G33" s="51">
        <f>+GETPIVOTDATA("Sum of "&amp;T(Transactions!$M$19),Pivot!$A$3,"Customer","WFEC")</f>
        <v>-65.881412591213461</v>
      </c>
      <c r="H33" s="51">
        <f>-'20XX NOLC Refund Detail'!D16</f>
        <v>0</v>
      </c>
      <c r="I33" s="63">
        <f t="shared" si="0"/>
        <v>-887.88573785960591</v>
      </c>
      <c r="J33" s="60"/>
    </row>
    <row r="34" spans="2:10" ht="23" x14ac:dyDescent="0.25">
      <c r="C34" s="67" t="s">
        <v>44</v>
      </c>
      <c r="D34" s="68">
        <f t="shared" ref="D34:I34" si="2">SUM(D21:D33)</f>
        <v>13210.25350942254</v>
      </c>
      <c r="E34" s="68">
        <f t="shared" si="2"/>
        <v>47592.53395746828</v>
      </c>
      <c r="F34" s="68">
        <f t="shared" si="2"/>
        <v>-34382.280448045734</v>
      </c>
      <c r="G34" s="69">
        <f t="shared" si="2"/>
        <v>-2755.6463322561217</v>
      </c>
      <c r="H34" s="69">
        <f t="shared" si="2"/>
        <v>0</v>
      </c>
      <c r="I34" s="70">
        <f t="shared" si="2"/>
        <v>-37137.926780301867</v>
      </c>
    </row>
    <row r="35" spans="2:10" x14ac:dyDescent="0.25">
      <c r="C35" s="71" t="s">
        <v>21</v>
      </c>
      <c r="D35" s="62">
        <f>GETPIVOTDATA("Sum of "&amp;T(Transactions!$J$19),Pivot!$A$3,"Customer",C35)</f>
        <v>18804.779907352371</v>
      </c>
      <c r="E35" s="62">
        <f>GETPIVOTDATA("Sum of "&amp;T(Transactions!$K$19),Pivot!$A$3,"Customer",C35)</f>
        <v>67747.914577492949</v>
      </c>
      <c r="F35" s="62">
        <f t="shared" si="1"/>
        <v>-48943.134670140578</v>
      </c>
      <c r="G35" s="51">
        <f>+GETPIVOTDATA("Sum of "&amp;T(Transactions!$M$19),Pivot!$A$3,"Customer","PSO")</f>
        <v>-3922.6592240351592</v>
      </c>
      <c r="H35" s="51">
        <f>-'20XX NOLC Refund Detail'!D18</f>
        <v>0</v>
      </c>
      <c r="I35" s="63">
        <f t="shared" ref="I35:I37" si="3">F35+G35+H35</f>
        <v>-52865.793894175738</v>
      </c>
    </row>
    <row r="36" spans="2:10" x14ac:dyDescent="0.25">
      <c r="C36" s="72" t="s">
        <v>22</v>
      </c>
      <c r="D36" s="62">
        <f>GETPIVOTDATA("Sum of "&amp;T(Transactions!$J$19),Pivot!$A$3,"Customer",C36)</f>
        <v>17231.534248654458</v>
      </c>
      <c r="E36" s="62">
        <f>GETPIVOTDATA("Sum of "&amp;T(Transactions!$K$19),Pivot!$A$3,"Customer",C36)</f>
        <v>62079.987964153275</v>
      </c>
      <c r="F36" s="62">
        <f>D36-E36</f>
        <v>-44848.453715498821</v>
      </c>
      <c r="G36" s="51">
        <f>+GETPIVOTDATA("Sum of "&amp;T(Transactions!$M$19),Pivot!$A$3,"Customer","SWEPCO")</f>
        <v>-3594.4816742223184</v>
      </c>
      <c r="H36" s="51">
        <f>-'20XX NOLC Refund Detail'!D19</f>
        <v>0</v>
      </c>
      <c r="I36" s="63">
        <f t="shared" si="3"/>
        <v>-48442.93538972114</v>
      </c>
    </row>
    <row r="37" spans="2:10" x14ac:dyDescent="0.25">
      <c r="C37" s="73" t="s">
        <v>83</v>
      </c>
      <c r="D37" s="62">
        <f>GETPIVOTDATA("Sum of "&amp;T(Transactions!$J$19),Pivot!$A$3,"Customer",C37)</f>
        <v>780.4830944960928</v>
      </c>
      <c r="E37" s="62">
        <f>GETPIVOTDATA("Sum of "&amp;T(Transactions!$K$19),Pivot!$A$3,"Customer",C37)</f>
        <v>2811.8437054626174</v>
      </c>
      <c r="F37" s="62">
        <f>D37-E37</f>
        <v>-2031.3606109665247</v>
      </c>
      <c r="G37" s="51">
        <f>+GETPIVOTDATA("Sum of "&amp;T(Transactions!$M$19),Pivot!$A$3,"Customer","SWEPCO-Valley")</f>
        <v>-162.80803204889298</v>
      </c>
      <c r="H37" s="51">
        <f>-'20XX NOLC Refund Detail'!D20</f>
        <v>0</v>
      </c>
      <c r="I37" s="63">
        <f t="shared" si="3"/>
        <v>-2194.1686430154177</v>
      </c>
    </row>
    <row r="38" spans="2:10" ht="23" x14ac:dyDescent="0.25">
      <c r="C38" s="74" t="s">
        <v>53</v>
      </c>
      <c r="D38" s="75">
        <f t="shared" ref="D38:I38" si="4">SUM(D35:D37)</f>
        <v>36816.797250502925</v>
      </c>
      <c r="E38" s="75">
        <f t="shared" si="4"/>
        <v>132639.74624710885</v>
      </c>
      <c r="F38" s="75">
        <f t="shared" si="4"/>
        <v>-95822.948996605919</v>
      </c>
      <c r="G38" s="76">
        <f t="shared" si="4"/>
        <v>-7679.948930306371</v>
      </c>
      <c r="H38" s="76">
        <f t="shared" si="4"/>
        <v>0</v>
      </c>
      <c r="I38" s="77">
        <f t="shared" si="4"/>
        <v>-103502.89792691231</v>
      </c>
    </row>
    <row r="39" spans="2:10" ht="23.25" customHeight="1" thickBot="1" x14ac:dyDescent="0.3">
      <c r="C39" s="78" t="s">
        <v>45</v>
      </c>
      <c r="D39" s="79">
        <f t="shared" ref="D39:I39" si="5">SUM(D34,D38)</f>
        <v>50027.050759925463</v>
      </c>
      <c r="E39" s="80">
        <f t="shared" si="5"/>
        <v>180232.28020457714</v>
      </c>
      <c r="F39" s="79">
        <f t="shared" si="5"/>
        <v>-130205.22944465166</v>
      </c>
      <c r="G39" s="80">
        <f t="shared" si="5"/>
        <v>-10435.595262562492</v>
      </c>
      <c r="H39" s="80">
        <f t="shared" si="5"/>
        <v>0</v>
      </c>
      <c r="I39" s="81">
        <f t="shared" si="5"/>
        <v>-140640.82470721417</v>
      </c>
    </row>
    <row r="40" spans="2:10" x14ac:dyDescent="0.25">
      <c r="E40" s="50"/>
      <c r="F40" s="50"/>
      <c r="G40" s="50"/>
      <c r="H40" s="5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104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0.54296875" style="1" bestFit="1" customWidth="1"/>
    <col min="16" max="16384" width="8.7265625" style="1"/>
  </cols>
  <sheetData>
    <row r="3" spans="1:15" x14ac:dyDescent="0.25">
      <c r="A3" s="230"/>
      <c r="B3" s="231"/>
      <c r="C3" s="232" t="s">
        <v>55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3"/>
    </row>
    <row r="4" spans="1:15" x14ac:dyDescent="0.25">
      <c r="A4" s="232" t="s">
        <v>0</v>
      </c>
      <c r="B4" s="232" t="s">
        <v>24</v>
      </c>
      <c r="C4" s="234">
        <v>45292</v>
      </c>
      <c r="D4" s="235">
        <v>45323</v>
      </c>
      <c r="E4" s="235">
        <v>45352</v>
      </c>
      <c r="F4" s="235">
        <v>45383</v>
      </c>
      <c r="G4" s="235">
        <v>45413</v>
      </c>
      <c r="H4" s="235">
        <v>45444</v>
      </c>
      <c r="I4" s="235">
        <v>45474</v>
      </c>
      <c r="J4" s="235">
        <v>45505</v>
      </c>
      <c r="K4" s="235">
        <v>45536</v>
      </c>
      <c r="L4" s="235">
        <v>45566</v>
      </c>
      <c r="M4" s="235">
        <v>45597</v>
      </c>
      <c r="N4" s="235">
        <v>45627</v>
      </c>
      <c r="O4" s="236" t="s">
        <v>18</v>
      </c>
    </row>
    <row r="5" spans="1:15" x14ac:dyDescent="0.25">
      <c r="A5" s="230" t="s">
        <v>14</v>
      </c>
      <c r="B5" s="230" t="s">
        <v>72</v>
      </c>
      <c r="C5" s="237">
        <v>554.54085191069157</v>
      </c>
      <c r="D5" s="238">
        <v>362.98112450132953</v>
      </c>
      <c r="E5" s="238">
        <v>315.3367820431036</v>
      </c>
      <c r="F5" s="238">
        <v>285.37487596112646</v>
      </c>
      <c r="G5" s="238">
        <v>369.85762753653739</v>
      </c>
      <c r="H5" s="238">
        <v>491.66996701736247</v>
      </c>
      <c r="I5" s="238">
        <v>472.02281548819718</v>
      </c>
      <c r="J5" s="238">
        <v>499.52882762902863</v>
      </c>
      <c r="K5" s="238">
        <v>420.44904272413817</v>
      </c>
      <c r="L5" s="238">
        <v>386.0665275480988</v>
      </c>
      <c r="M5" s="238">
        <v>227.41577895008874</v>
      </c>
      <c r="N5" s="238">
        <v>356.10462146612167</v>
      </c>
      <c r="O5" s="239">
        <v>4741.3488427758239</v>
      </c>
    </row>
    <row r="6" spans="1:15" ht="13" x14ac:dyDescent="0.3">
      <c r="A6" s="240"/>
      <c r="B6" s="241" t="s">
        <v>25</v>
      </c>
      <c r="C6" s="242">
        <v>-1443.3015291259951</v>
      </c>
      <c r="D6" s="228">
        <v>-944.72969886989404</v>
      </c>
      <c r="E6" s="228">
        <v>-820.72593596004344</v>
      </c>
      <c r="F6" s="228">
        <v>-742.74418815075569</v>
      </c>
      <c r="G6" s="228">
        <v>-962.62714918677966</v>
      </c>
      <c r="H6" s="228">
        <v>-1279.667697657326</v>
      </c>
      <c r="I6" s="228">
        <v>-1228.5321253233669</v>
      </c>
      <c r="J6" s="228">
        <v>-1300.1219265909097</v>
      </c>
      <c r="K6" s="228">
        <v>-1094.3012479467243</v>
      </c>
      <c r="L6" s="228">
        <v>-1004.8139963622959</v>
      </c>
      <c r="M6" s="228">
        <v>-591.89424976557643</v>
      </c>
      <c r="N6" s="228">
        <v>-926.83224855300841</v>
      </c>
      <c r="O6" s="243">
        <v>-12340.291993492676</v>
      </c>
    </row>
    <row r="7" spans="1:15" ht="13" x14ac:dyDescent="0.3">
      <c r="A7" s="240"/>
      <c r="B7" s="241" t="s">
        <v>26</v>
      </c>
      <c r="C7" s="242">
        <v>-115.67669489188181</v>
      </c>
      <c r="D7" s="228">
        <v>-75.717517737024494</v>
      </c>
      <c r="E7" s="228">
        <v>-65.778953162611259</v>
      </c>
      <c r="F7" s="228">
        <v>-59.528928017877178</v>
      </c>
      <c r="G7" s="228">
        <v>-77.151949737455269</v>
      </c>
      <c r="H7" s="228">
        <v>-102.56188803080043</v>
      </c>
      <c r="I7" s="228">
        <v>-98.463510886712498</v>
      </c>
      <c r="J7" s="228">
        <v>-104.20123888843561</v>
      </c>
      <c r="K7" s="228">
        <v>-87.705270883481688</v>
      </c>
      <c r="L7" s="228">
        <v>-80.533110881327815</v>
      </c>
      <c r="M7" s="228">
        <v>-47.438715442817788</v>
      </c>
      <c r="N7" s="228">
        <v>-74.283085736593719</v>
      </c>
      <c r="O7" s="243">
        <v>-989.04086429701965</v>
      </c>
    </row>
    <row r="8" spans="1:15" ht="13" x14ac:dyDescent="0.3">
      <c r="A8" s="240"/>
      <c r="B8" s="241" t="s">
        <v>27</v>
      </c>
      <c r="C8" s="242">
        <v>-1558.978224017877</v>
      </c>
      <c r="D8" s="228">
        <v>-1020.4472166069186</v>
      </c>
      <c r="E8" s="228">
        <v>-886.50488912265473</v>
      </c>
      <c r="F8" s="228">
        <v>-802.2731161686329</v>
      </c>
      <c r="G8" s="228">
        <v>-1039.7790989242349</v>
      </c>
      <c r="H8" s="228">
        <v>-1382.2295856881265</v>
      </c>
      <c r="I8" s="228">
        <v>-1326.9956362100795</v>
      </c>
      <c r="J8" s="228">
        <v>-1404.3231654793453</v>
      </c>
      <c r="K8" s="228">
        <v>-1182.006518830206</v>
      </c>
      <c r="L8" s="228">
        <v>-1085.3471072436237</v>
      </c>
      <c r="M8" s="228">
        <v>-639.33296520839417</v>
      </c>
      <c r="N8" s="228">
        <v>-1001.1153342896022</v>
      </c>
      <c r="O8" s="243">
        <v>-13329.332857789695</v>
      </c>
    </row>
    <row r="9" spans="1:15" x14ac:dyDescent="0.25">
      <c r="A9" s="240"/>
      <c r="B9" s="241" t="s">
        <v>51</v>
      </c>
      <c r="C9" s="244">
        <v>1997.8423810366867</v>
      </c>
      <c r="D9" s="82">
        <v>1307.7108233712236</v>
      </c>
      <c r="E9" s="82">
        <v>1136.062718003147</v>
      </c>
      <c r="F9" s="82">
        <v>1028.1190641118822</v>
      </c>
      <c r="G9" s="82">
        <v>1332.4847767233171</v>
      </c>
      <c r="H9" s="82">
        <v>1771.3376646746885</v>
      </c>
      <c r="I9" s="82">
        <v>1700.5549408115642</v>
      </c>
      <c r="J9" s="82">
        <v>1799.6507542199383</v>
      </c>
      <c r="K9" s="82">
        <v>1514.7502906708626</v>
      </c>
      <c r="L9" s="82">
        <v>1390.8805239103947</v>
      </c>
      <c r="M9" s="82">
        <v>819.31002871566511</v>
      </c>
      <c r="N9" s="82">
        <v>1282.9368700191301</v>
      </c>
      <c r="O9" s="245">
        <v>17081.6408362685</v>
      </c>
    </row>
    <row r="10" spans="1:15" x14ac:dyDescent="0.25">
      <c r="A10" s="240"/>
      <c r="B10" s="241" t="s">
        <v>89</v>
      </c>
      <c r="C10" s="244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245">
        <v>0</v>
      </c>
    </row>
    <row r="11" spans="1:15" x14ac:dyDescent="0.25">
      <c r="A11" s="240"/>
      <c r="B11" s="241" t="s">
        <v>91</v>
      </c>
      <c r="C11" s="244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245">
        <v>0</v>
      </c>
    </row>
    <row r="12" spans="1:15" x14ac:dyDescent="0.25">
      <c r="A12" s="230" t="s">
        <v>17</v>
      </c>
      <c r="B12" s="230" t="s">
        <v>72</v>
      </c>
      <c r="C12" s="237">
        <v>51.082593975829866</v>
      </c>
      <c r="D12" s="238">
        <v>48.626700034684205</v>
      </c>
      <c r="E12" s="238">
        <v>48.626700034684205</v>
      </c>
      <c r="F12" s="238">
        <v>48.626700034684205</v>
      </c>
      <c r="G12" s="238">
        <v>52.064951552288136</v>
      </c>
      <c r="H12" s="238">
        <v>58.941454587496004</v>
      </c>
      <c r="I12" s="238">
        <v>57.467918222808599</v>
      </c>
      <c r="J12" s="238">
        <v>57.959097011037734</v>
      </c>
      <c r="K12" s="238">
        <v>57.467918222808599</v>
      </c>
      <c r="L12" s="238">
        <v>52.556130340517271</v>
      </c>
      <c r="M12" s="238">
        <v>44.697269728851133</v>
      </c>
      <c r="N12" s="238">
        <v>50.100236399371603</v>
      </c>
      <c r="O12" s="239">
        <v>628.21767014506156</v>
      </c>
    </row>
    <row r="13" spans="1:15" ht="13" x14ac:dyDescent="0.3">
      <c r="A13" s="240"/>
      <c r="B13" s="241" t="s">
        <v>25</v>
      </c>
      <c r="C13" s="242">
        <v>-132.95248806829363</v>
      </c>
      <c r="D13" s="228">
        <v>-126.56054152654872</v>
      </c>
      <c r="E13" s="228">
        <v>-126.56054152654872</v>
      </c>
      <c r="F13" s="228">
        <v>-126.56054152654872</v>
      </c>
      <c r="G13" s="228">
        <v>-135.50926668499156</v>
      </c>
      <c r="H13" s="228">
        <v>-153.40671700187724</v>
      </c>
      <c r="I13" s="228">
        <v>-149.57154907683031</v>
      </c>
      <c r="J13" s="228">
        <v>-150.84993838517931</v>
      </c>
      <c r="K13" s="228">
        <v>-149.57154907683031</v>
      </c>
      <c r="L13" s="228">
        <v>-136.78765599334054</v>
      </c>
      <c r="M13" s="228">
        <v>-116.33342705975693</v>
      </c>
      <c r="N13" s="228">
        <v>-130.39570945159568</v>
      </c>
      <c r="O13" s="243">
        <v>-1635.0599253783414</v>
      </c>
    </row>
    <row r="14" spans="1:15" ht="13" x14ac:dyDescent="0.3">
      <c r="A14" s="240"/>
      <c r="B14" s="241" t="s">
        <v>26</v>
      </c>
      <c r="C14" s="242">
        <v>-10.655780574628617</v>
      </c>
      <c r="D14" s="228">
        <v>-10.143483431617625</v>
      </c>
      <c r="E14" s="228">
        <v>-10.143483431617625</v>
      </c>
      <c r="F14" s="228">
        <v>-10.143483431617625</v>
      </c>
      <c r="G14" s="228">
        <v>-10.860699431833014</v>
      </c>
      <c r="H14" s="228">
        <v>-12.295131432263789</v>
      </c>
      <c r="I14" s="228">
        <v>-11.987753146457194</v>
      </c>
      <c r="J14" s="228">
        <v>-12.090212575059391</v>
      </c>
      <c r="K14" s="228">
        <v>-11.987753146457194</v>
      </c>
      <c r="L14" s="228">
        <v>-10.963158860435211</v>
      </c>
      <c r="M14" s="228">
        <v>-9.323808002800039</v>
      </c>
      <c r="N14" s="228">
        <v>-10.450861717424219</v>
      </c>
      <c r="O14" s="243">
        <v>-131.04560918221156</v>
      </c>
    </row>
    <row r="15" spans="1:15" ht="13" x14ac:dyDescent="0.3">
      <c r="A15" s="240"/>
      <c r="B15" s="241" t="s">
        <v>27</v>
      </c>
      <c r="C15" s="242">
        <v>-143.60826864292224</v>
      </c>
      <c r="D15" s="228">
        <v>-136.70402495816634</v>
      </c>
      <c r="E15" s="228">
        <v>-136.70402495816634</v>
      </c>
      <c r="F15" s="228">
        <v>-136.70402495816634</v>
      </c>
      <c r="G15" s="228">
        <v>-146.36996611682457</v>
      </c>
      <c r="H15" s="228">
        <v>-165.70184843414103</v>
      </c>
      <c r="I15" s="228">
        <v>-161.55930222328749</v>
      </c>
      <c r="J15" s="228">
        <v>-162.9401509602387</v>
      </c>
      <c r="K15" s="228">
        <v>-161.55930222328749</v>
      </c>
      <c r="L15" s="228">
        <v>-147.75081485377575</v>
      </c>
      <c r="M15" s="228">
        <v>-125.65723506255696</v>
      </c>
      <c r="N15" s="228">
        <v>-140.84657116901991</v>
      </c>
      <c r="O15" s="243">
        <v>-1766.105534560553</v>
      </c>
    </row>
    <row r="16" spans="1:15" x14ac:dyDescent="0.25">
      <c r="A16" s="240"/>
      <c r="B16" s="241" t="s">
        <v>51</v>
      </c>
      <c r="C16" s="244">
        <v>184.0350820441235</v>
      </c>
      <c r="D16" s="82">
        <v>175.18724156123292</v>
      </c>
      <c r="E16" s="82">
        <v>175.18724156123292</v>
      </c>
      <c r="F16" s="82">
        <v>175.18724156123292</v>
      </c>
      <c r="G16" s="82">
        <v>187.57421823727969</v>
      </c>
      <c r="H16" s="82">
        <v>212.34817158937324</v>
      </c>
      <c r="I16" s="82">
        <v>207.03946729963891</v>
      </c>
      <c r="J16" s="82">
        <v>208.80903539621704</v>
      </c>
      <c r="K16" s="82">
        <v>207.03946729963891</v>
      </c>
      <c r="L16" s="82">
        <v>189.34378633385782</v>
      </c>
      <c r="M16" s="82">
        <v>161.03069678860805</v>
      </c>
      <c r="N16" s="82">
        <v>180.49594585096727</v>
      </c>
      <c r="O16" s="245">
        <v>2263.2775955234033</v>
      </c>
    </row>
    <row r="17" spans="1:15" x14ac:dyDescent="0.25">
      <c r="A17" s="240"/>
      <c r="B17" s="241" t="s">
        <v>89</v>
      </c>
      <c r="C17" s="244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245">
        <v>0</v>
      </c>
    </row>
    <row r="18" spans="1:15" x14ac:dyDescent="0.25">
      <c r="A18" s="240"/>
      <c r="B18" s="241" t="s">
        <v>91</v>
      </c>
      <c r="C18" s="244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245">
        <v>0</v>
      </c>
    </row>
    <row r="19" spans="1:15" x14ac:dyDescent="0.25">
      <c r="A19" s="230" t="s">
        <v>13</v>
      </c>
      <c r="B19" s="230" t="s">
        <v>72</v>
      </c>
      <c r="C19" s="237">
        <v>713.19160050870164</v>
      </c>
      <c r="D19" s="238">
        <v>474.47870942934281</v>
      </c>
      <c r="E19" s="238">
        <v>359.5428729837256</v>
      </c>
      <c r="F19" s="238">
        <v>268.67479716133596</v>
      </c>
      <c r="G19" s="238">
        <v>366.91055480716261</v>
      </c>
      <c r="H19" s="238">
        <v>450.4109488061153</v>
      </c>
      <c r="I19" s="238">
        <v>466.61984881767671</v>
      </c>
      <c r="J19" s="238">
        <v>461.70806093538533</v>
      </c>
      <c r="K19" s="238">
        <v>400.80189119497282</v>
      </c>
      <c r="L19" s="238">
        <v>335.47511236049809</v>
      </c>
      <c r="M19" s="238">
        <v>257.86886382029502</v>
      </c>
      <c r="N19" s="238">
        <v>423.8872942417421</v>
      </c>
      <c r="O19" s="239">
        <v>4979.5705550669536</v>
      </c>
    </row>
    <row r="20" spans="1:15" ht="13" x14ac:dyDescent="0.3">
      <c r="A20" s="240"/>
      <c r="B20" s="241" t="s">
        <v>25</v>
      </c>
      <c r="C20" s="242">
        <v>-1856.2212757227146</v>
      </c>
      <c r="D20" s="228">
        <v>-1234.9240718651117</v>
      </c>
      <c r="E20" s="228">
        <v>-935.78097371145122</v>
      </c>
      <c r="F20" s="228">
        <v>-699.27895166689041</v>
      </c>
      <c r="G20" s="228">
        <v>-954.95681333668597</v>
      </c>
      <c r="H20" s="228">
        <v>-1172.2829957560118</v>
      </c>
      <c r="I20" s="228">
        <v>-1214.4698429315281</v>
      </c>
      <c r="J20" s="228">
        <v>-1201.6859498480385</v>
      </c>
      <c r="K20" s="228">
        <v>-1043.1656756127654</v>
      </c>
      <c r="L20" s="228">
        <v>-873.13989760235131</v>
      </c>
      <c r="M20" s="228">
        <v>-671.15438688321296</v>
      </c>
      <c r="N20" s="228">
        <v>-1103.2499731051671</v>
      </c>
      <c r="O20" s="243">
        <v>-12960.310808041928</v>
      </c>
    </row>
    <row r="21" spans="1:15" ht="13" x14ac:dyDescent="0.3">
      <c r="A21" s="240"/>
      <c r="B21" s="241" t="s">
        <v>26</v>
      </c>
      <c r="C21" s="242">
        <v>-148.77109033039184</v>
      </c>
      <c r="D21" s="228">
        <v>-98.975808029723481</v>
      </c>
      <c r="E21" s="228">
        <v>-75.000301736809107</v>
      </c>
      <c r="F21" s="228">
        <v>-56.045307445402429</v>
      </c>
      <c r="G21" s="228">
        <v>-76.537193165842083</v>
      </c>
      <c r="H21" s="228">
        <v>-93.955296028215784</v>
      </c>
      <c r="I21" s="228">
        <v>-97.33645717208833</v>
      </c>
      <c r="J21" s="228">
        <v>-96.311862886066336</v>
      </c>
      <c r="K21" s="228">
        <v>-83.606893739393755</v>
      </c>
      <c r="L21" s="228">
        <v>-69.979789735301395</v>
      </c>
      <c r="M21" s="228">
        <v>-53.791200016154072</v>
      </c>
      <c r="N21" s="228">
        <v>-88.422486883697076</v>
      </c>
      <c r="O21" s="243">
        <v>-1038.7336871690859</v>
      </c>
    </row>
    <row r="22" spans="1:15" ht="13" x14ac:dyDescent="0.3">
      <c r="A22" s="240"/>
      <c r="B22" s="241" t="s">
        <v>27</v>
      </c>
      <c r="C22" s="242">
        <v>-2004.9923660531065</v>
      </c>
      <c r="D22" s="228">
        <v>-1333.8998798948353</v>
      </c>
      <c r="E22" s="228">
        <v>-1010.7812754482603</v>
      </c>
      <c r="F22" s="228">
        <v>-755.32425911229279</v>
      </c>
      <c r="G22" s="228">
        <v>-1031.494006502528</v>
      </c>
      <c r="H22" s="228">
        <v>-1266.2382917842276</v>
      </c>
      <c r="I22" s="228">
        <v>-1311.8063001036164</v>
      </c>
      <c r="J22" s="228">
        <v>-1297.9978127341049</v>
      </c>
      <c r="K22" s="228">
        <v>-1126.7725693521593</v>
      </c>
      <c r="L22" s="228">
        <v>-943.11968733765275</v>
      </c>
      <c r="M22" s="228">
        <v>-724.94558689936707</v>
      </c>
      <c r="N22" s="228">
        <v>-1191.6724599888641</v>
      </c>
      <c r="O22" s="243">
        <v>-13999.044495211014</v>
      </c>
    </row>
    <row r="23" spans="1:15" x14ac:dyDescent="0.25">
      <c r="A23" s="240"/>
      <c r="B23" s="241" t="s">
        <v>51</v>
      </c>
      <c r="C23" s="244">
        <v>2569.4128762314162</v>
      </c>
      <c r="D23" s="82">
        <v>1709.4027812944546</v>
      </c>
      <c r="E23" s="82">
        <v>1295.3238466951768</v>
      </c>
      <c r="F23" s="82">
        <v>967.95374882822637</v>
      </c>
      <c r="G23" s="82">
        <v>1321.8673681438486</v>
      </c>
      <c r="H23" s="82">
        <v>1622.6939445621272</v>
      </c>
      <c r="I23" s="82">
        <v>1681.0896917492048</v>
      </c>
      <c r="J23" s="82">
        <v>1663.3940107834237</v>
      </c>
      <c r="K23" s="82">
        <v>1443.9675668077382</v>
      </c>
      <c r="L23" s="82">
        <v>1208.6150099628494</v>
      </c>
      <c r="M23" s="82">
        <v>929.02325070350798</v>
      </c>
      <c r="N23" s="82">
        <v>1527.1372673469093</v>
      </c>
      <c r="O23" s="245">
        <v>17939.881363108881</v>
      </c>
    </row>
    <row r="24" spans="1:15" x14ac:dyDescent="0.25">
      <c r="A24" s="240"/>
      <c r="B24" s="241" t="s">
        <v>89</v>
      </c>
      <c r="C24" s="244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245">
        <v>0</v>
      </c>
    </row>
    <row r="25" spans="1:15" x14ac:dyDescent="0.25">
      <c r="A25" s="240"/>
      <c r="B25" s="241" t="s">
        <v>91</v>
      </c>
      <c r="C25" s="244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245">
        <v>0</v>
      </c>
    </row>
    <row r="26" spans="1:15" x14ac:dyDescent="0.25">
      <c r="A26" s="230" t="s">
        <v>15</v>
      </c>
      <c r="B26" s="230" t="s">
        <v>72</v>
      </c>
      <c r="C26" s="237">
        <v>3.9294303058330668</v>
      </c>
      <c r="D26" s="238">
        <v>2.4558939411456668</v>
      </c>
      <c r="E26" s="238">
        <v>2.4558939411456668</v>
      </c>
      <c r="F26" s="238">
        <v>2.9470727293748</v>
      </c>
      <c r="G26" s="238">
        <v>4.4206090940622005</v>
      </c>
      <c r="H26" s="238">
        <v>6.8765030352078673</v>
      </c>
      <c r="I26" s="238">
        <v>8.3500393998952678</v>
      </c>
      <c r="J26" s="238">
        <v>9.3323969763535342</v>
      </c>
      <c r="K26" s="238">
        <v>5.4029666705204669</v>
      </c>
      <c r="L26" s="238">
        <v>2.9470727293748</v>
      </c>
      <c r="M26" s="238">
        <v>2.9470727293748</v>
      </c>
      <c r="N26" s="238">
        <v>2.9470727293748</v>
      </c>
      <c r="O26" s="239">
        <v>55.012024281662953</v>
      </c>
    </row>
    <row r="27" spans="1:15" ht="13" x14ac:dyDescent="0.3">
      <c r="A27" s="240"/>
      <c r="B27" s="241" t="s">
        <v>25</v>
      </c>
      <c r="C27" s="242">
        <v>-10.227114466791816</v>
      </c>
      <c r="D27" s="228">
        <v>-6.3919465417448853</v>
      </c>
      <c r="E27" s="228">
        <v>-6.3919465417448853</v>
      </c>
      <c r="F27" s="228">
        <v>-7.6703358500938625</v>
      </c>
      <c r="G27" s="228">
        <v>-11.505503775140793</v>
      </c>
      <c r="H27" s="228">
        <v>-17.897450316885678</v>
      </c>
      <c r="I27" s="228">
        <v>-21.732618241932613</v>
      </c>
      <c r="J27" s="228">
        <v>-24.28939685863056</v>
      </c>
      <c r="K27" s="228">
        <v>-14.062282391838746</v>
      </c>
      <c r="L27" s="228">
        <v>-7.6703358500938625</v>
      </c>
      <c r="M27" s="228">
        <v>-7.6703358500938625</v>
      </c>
      <c r="N27" s="228">
        <v>-7.6703358500938625</v>
      </c>
      <c r="O27" s="243">
        <v>-143.17960253508542</v>
      </c>
    </row>
    <row r="28" spans="1:15" ht="13" x14ac:dyDescent="0.3">
      <c r="A28" s="240"/>
      <c r="B28" s="241" t="s">
        <v>26</v>
      </c>
      <c r="C28" s="242">
        <v>-0.81967542881758593</v>
      </c>
      <c r="D28" s="228">
        <v>-0.51229714301099116</v>
      </c>
      <c r="E28" s="228">
        <v>-0.51229714301099116</v>
      </c>
      <c r="F28" s="228">
        <v>-0.61475657161318942</v>
      </c>
      <c r="G28" s="228">
        <v>-0.92213485741978418</v>
      </c>
      <c r="H28" s="228">
        <v>-1.4344320004307753</v>
      </c>
      <c r="I28" s="228">
        <v>-1.7418102862373701</v>
      </c>
      <c r="J28" s="228">
        <v>-1.9467291434417666</v>
      </c>
      <c r="K28" s="228">
        <v>-1.1270537146241806</v>
      </c>
      <c r="L28" s="228">
        <v>-0.61475657161318942</v>
      </c>
      <c r="M28" s="228">
        <v>-0.61475657161318942</v>
      </c>
      <c r="N28" s="228">
        <v>-0.61475657161318942</v>
      </c>
      <c r="O28" s="243">
        <v>-11.475456003446201</v>
      </c>
    </row>
    <row r="29" spans="1:15" ht="13" x14ac:dyDescent="0.3">
      <c r="A29" s="240"/>
      <c r="B29" s="241" t="s">
        <v>27</v>
      </c>
      <c r="C29" s="242">
        <v>-11.046789895609402</v>
      </c>
      <c r="D29" s="228">
        <v>-6.9042436847558761</v>
      </c>
      <c r="E29" s="228">
        <v>-6.9042436847558761</v>
      </c>
      <c r="F29" s="228">
        <v>-8.2850924217070521</v>
      </c>
      <c r="G29" s="228">
        <v>-12.427638632560578</v>
      </c>
      <c r="H29" s="228">
        <v>-19.331882317316452</v>
      </c>
      <c r="I29" s="228">
        <v>-23.474428528169984</v>
      </c>
      <c r="J29" s="228">
        <v>-26.236126002072329</v>
      </c>
      <c r="K29" s="228">
        <v>-15.189336106462926</v>
      </c>
      <c r="L29" s="228">
        <v>-8.2850924217070521</v>
      </c>
      <c r="M29" s="228">
        <v>-8.2850924217070521</v>
      </c>
      <c r="N29" s="228">
        <v>-8.2850924217070521</v>
      </c>
      <c r="O29" s="243">
        <v>-154.65505853853162</v>
      </c>
    </row>
    <row r="30" spans="1:15" x14ac:dyDescent="0.25">
      <c r="A30" s="240"/>
      <c r="B30" s="241" t="s">
        <v>51</v>
      </c>
      <c r="C30" s="244">
        <v>14.156544772624883</v>
      </c>
      <c r="D30" s="82">
        <v>8.8478404828905521</v>
      </c>
      <c r="E30" s="82">
        <v>8.8478404828905521</v>
      </c>
      <c r="F30" s="82">
        <v>10.617408579468663</v>
      </c>
      <c r="G30" s="82">
        <v>15.926112869202994</v>
      </c>
      <c r="H30" s="82">
        <v>24.773953352093546</v>
      </c>
      <c r="I30" s="82">
        <v>30.082657641827879</v>
      </c>
      <c r="J30" s="82">
        <v>33.621793834984096</v>
      </c>
      <c r="K30" s="82">
        <v>19.465249062359213</v>
      </c>
      <c r="L30" s="82">
        <v>10.617408579468663</v>
      </c>
      <c r="M30" s="82">
        <v>10.617408579468663</v>
      </c>
      <c r="N30" s="82">
        <v>10.617408579468663</v>
      </c>
      <c r="O30" s="245">
        <v>198.1916268167484</v>
      </c>
    </row>
    <row r="31" spans="1:15" x14ac:dyDescent="0.25">
      <c r="A31" s="240"/>
      <c r="B31" s="241" t="s">
        <v>89</v>
      </c>
      <c r="C31" s="244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245">
        <v>0</v>
      </c>
    </row>
    <row r="32" spans="1:15" x14ac:dyDescent="0.25">
      <c r="A32" s="240"/>
      <c r="B32" s="241" t="s">
        <v>91</v>
      </c>
      <c r="C32" s="244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245">
        <v>0</v>
      </c>
    </row>
    <row r="33" spans="1:15" x14ac:dyDescent="0.25">
      <c r="A33" s="230" t="s">
        <v>16</v>
      </c>
      <c r="B33" s="230" t="s">
        <v>72</v>
      </c>
      <c r="C33" s="237">
        <v>1.9647151529165334</v>
      </c>
      <c r="D33" s="238">
        <v>1.4735363646874</v>
      </c>
      <c r="E33" s="238">
        <v>1.4735363646874</v>
      </c>
      <c r="F33" s="238">
        <v>0.98235757645826671</v>
      </c>
      <c r="G33" s="238">
        <v>1.9647151529165334</v>
      </c>
      <c r="H33" s="238">
        <v>1.9647151529165334</v>
      </c>
      <c r="I33" s="238">
        <v>2.9470727293748</v>
      </c>
      <c r="J33" s="238">
        <v>2.9470727293748</v>
      </c>
      <c r="K33" s="238">
        <v>1.4735363646874</v>
      </c>
      <c r="L33" s="238">
        <v>2.9470727293748</v>
      </c>
      <c r="M33" s="238">
        <v>0.49117878822913336</v>
      </c>
      <c r="N33" s="238">
        <v>1.4735363646874</v>
      </c>
      <c r="O33" s="239">
        <v>22.103045470311002</v>
      </c>
    </row>
    <row r="34" spans="1:15" ht="13" x14ac:dyDescent="0.3">
      <c r="A34" s="240"/>
      <c r="B34" s="241" t="s">
        <v>25</v>
      </c>
      <c r="C34" s="242">
        <v>-5.1135572333959081</v>
      </c>
      <c r="D34" s="228">
        <v>-3.8351679250469313</v>
      </c>
      <c r="E34" s="228">
        <v>-3.8351679250469313</v>
      </c>
      <c r="F34" s="228">
        <v>-2.556778616697954</v>
      </c>
      <c r="G34" s="228">
        <v>-5.1135572333959081</v>
      </c>
      <c r="H34" s="228">
        <v>-5.1135572333959081</v>
      </c>
      <c r="I34" s="228">
        <v>-7.6703358500938625</v>
      </c>
      <c r="J34" s="228">
        <v>-7.6703358500938625</v>
      </c>
      <c r="K34" s="228">
        <v>-3.8351679250469313</v>
      </c>
      <c r="L34" s="228">
        <v>-7.6703358500938625</v>
      </c>
      <c r="M34" s="228">
        <v>-1.278389308348977</v>
      </c>
      <c r="N34" s="228">
        <v>-3.8351679250469313</v>
      </c>
      <c r="O34" s="243">
        <v>-57.527518875703969</v>
      </c>
    </row>
    <row r="35" spans="1:15" ht="13" x14ac:dyDescent="0.3">
      <c r="A35" s="240"/>
      <c r="B35" s="241" t="s">
        <v>26</v>
      </c>
      <c r="C35" s="242">
        <v>-0.40983771440879296</v>
      </c>
      <c r="D35" s="228">
        <v>-0.30737828580659471</v>
      </c>
      <c r="E35" s="228">
        <v>-0.30737828580659471</v>
      </c>
      <c r="F35" s="228">
        <v>-0.20491885720439648</v>
      </c>
      <c r="G35" s="228">
        <v>-0.40983771440879296</v>
      </c>
      <c r="H35" s="228">
        <v>-0.40983771440879296</v>
      </c>
      <c r="I35" s="228">
        <v>-0.61475657161318942</v>
      </c>
      <c r="J35" s="228">
        <v>-0.61475657161318942</v>
      </c>
      <c r="K35" s="228">
        <v>-0.30737828580659471</v>
      </c>
      <c r="L35" s="228">
        <v>-0.61475657161318942</v>
      </c>
      <c r="M35" s="228">
        <v>-0.10245942860219824</v>
      </c>
      <c r="N35" s="228">
        <v>-0.30737828580659471</v>
      </c>
      <c r="O35" s="243">
        <v>-4.6106742870989201</v>
      </c>
    </row>
    <row r="36" spans="1:15" ht="13" x14ac:dyDescent="0.3">
      <c r="A36" s="240"/>
      <c r="B36" s="241" t="s">
        <v>27</v>
      </c>
      <c r="C36" s="242">
        <v>-5.5233949478047011</v>
      </c>
      <c r="D36" s="228">
        <v>-4.142546210853526</v>
      </c>
      <c r="E36" s="228">
        <v>-4.142546210853526</v>
      </c>
      <c r="F36" s="228">
        <v>-2.7616974739023505</v>
      </c>
      <c r="G36" s="228">
        <v>-5.5233949478047011</v>
      </c>
      <c r="H36" s="228">
        <v>-5.5233949478047011</v>
      </c>
      <c r="I36" s="228">
        <v>-8.2850924217070521</v>
      </c>
      <c r="J36" s="228">
        <v>-8.2850924217070521</v>
      </c>
      <c r="K36" s="228">
        <v>-4.142546210853526</v>
      </c>
      <c r="L36" s="228">
        <v>-8.2850924217070521</v>
      </c>
      <c r="M36" s="228">
        <v>-1.3808487369511753</v>
      </c>
      <c r="N36" s="228">
        <v>-4.142546210853526</v>
      </c>
      <c r="O36" s="243">
        <v>-62.138193162802871</v>
      </c>
    </row>
    <row r="37" spans="1:15" x14ac:dyDescent="0.25">
      <c r="A37" s="240"/>
      <c r="B37" s="241" t="s">
        <v>51</v>
      </c>
      <c r="C37" s="244">
        <v>7.0782723863124417</v>
      </c>
      <c r="D37" s="82">
        <v>5.3087042897343313</v>
      </c>
      <c r="E37" s="82">
        <v>5.3087042897343313</v>
      </c>
      <c r="F37" s="82">
        <v>3.5391361931562209</v>
      </c>
      <c r="G37" s="82">
        <v>7.0782723863124417</v>
      </c>
      <c r="H37" s="82">
        <v>7.0782723863124417</v>
      </c>
      <c r="I37" s="82">
        <v>10.617408579468663</v>
      </c>
      <c r="J37" s="82">
        <v>10.617408579468663</v>
      </c>
      <c r="K37" s="82">
        <v>5.3087042897343313</v>
      </c>
      <c r="L37" s="82">
        <v>10.617408579468663</v>
      </c>
      <c r="M37" s="82">
        <v>1.7695680965781104</v>
      </c>
      <c r="N37" s="82">
        <v>5.3087042897343313</v>
      </c>
      <c r="O37" s="245">
        <v>79.630564346014978</v>
      </c>
    </row>
    <row r="38" spans="1:15" x14ac:dyDescent="0.25">
      <c r="A38" s="240"/>
      <c r="B38" s="241" t="s">
        <v>89</v>
      </c>
      <c r="C38" s="244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245">
        <v>0</v>
      </c>
    </row>
    <row r="39" spans="1:15" x14ac:dyDescent="0.25">
      <c r="A39" s="240"/>
      <c r="B39" s="241" t="s">
        <v>91</v>
      </c>
      <c r="C39" s="244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245">
        <v>0</v>
      </c>
    </row>
    <row r="40" spans="1:15" x14ac:dyDescent="0.25">
      <c r="A40" s="230" t="s">
        <v>19</v>
      </c>
      <c r="B40" s="230" t="s">
        <v>72</v>
      </c>
      <c r="C40" s="237">
        <v>31.92662123489367</v>
      </c>
      <c r="D40" s="238">
        <v>31.92662123489367</v>
      </c>
      <c r="E40" s="238">
        <v>31.435442446664535</v>
      </c>
      <c r="F40" s="238">
        <v>31.92662123489367</v>
      </c>
      <c r="G40" s="238">
        <v>25.050118199685802</v>
      </c>
      <c r="H40" s="238">
        <v>28.979548505518867</v>
      </c>
      <c r="I40" s="238">
        <v>32.908978811351936</v>
      </c>
      <c r="J40" s="238">
        <v>34.382515176039334</v>
      </c>
      <c r="K40" s="238">
        <v>35.364872752497604</v>
      </c>
      <c r="L40" s="238">
        <v>35.856051540726732</v>
      </c>
      <c r="M40" s="238">
        <v>35.364872752497604</v>
      </c>
      <c r="N40" s="238">
        <v>31.92662123489367</v>
      </c>
      <c r="O40" s="239">
        <v>387.04888512455716</v>
      </c>
    </row>
    <row r="41" spans="1:15" ht="13" x14ac:dyDescent="0.3">
      <c r="A41" s="240"/>
      <c r="B41" s="241" t="s">
        <v>25</v>
      </c>
      <c r="C41" s="242">
        <v>-83.095305042683506</v>
      </c>
      <c r="D41" s="228">
        <v>-83.095305042683506</v>
      </c>
      <c r="E41" s="228">
        <v>-81.816915734334529</v>
      </c>
      <c r="F41" s="228">
        <v>-83.095305042683506</v>
      </c>
      <c r="G41" s="228">
        <v>-65.197854725797839</v>
      </c>
      <c r="H41" s="228">
        <v>-75.424969192589657</v>
      </c>
      <c r="I41" s="228">
        <v>-85.652083659381475</v>
      </c>
      <c r="J41" s="228">
        <v>-89.487251584428392</v>
      </c>
      <c r="K41" s="228">
        <v>-92.044030201126347</v>
      </c>
      <c r="L41" s="228">
        <v>-93.322419509475338</v>
      </c>
      <c r="M41" s="228">
        <v>-92.044030201126347</v>
      </c>
      <c r="N41" s="228">
        <v>-83.095305042683506</v>
      </c>
      <c r="O41" s="243">
        <v>-1007.3707749789939</v>
      </c>
    </row>
    <row r="42" spans="1:15" ht="13" x14ac:dyDescent="0.3">
      <c r="A42" s="240"/>
      <c r="B42" s="241" t="s">
        <v>26</v>
      </c>
      <c r="C42" s="242">
        <v>-6.6598628591428861</v>
      </c>
      <c r="D42" s="228">
        <v>-6.6598628591428861</v>
      </c>
      <c r="E42" s="228">
        <v>-6.5574034305406874</v>
      </c>
      <c r="F42" s="228">
        <v>-6.6598628591428861</v>
      </c>
      <c r="G42" s="228">
        <v>-5.2254308587121097</v>
      </c>
      <c r="H42" s="228">
        <v>-6.0451062875296957</v>
      </c>
      <c r="I42" s="228">
        <v>-6.8647817163472817</v>
      </c>
      <c r="J42" s="228">
        <v>-7.1721600021538761</v>
      </c>
      <c r="K42" s="228">
        <v>-7.3770788593582735</v>
      </c>
      <c r="L42" s="228">
        <v>-7.4795382879604704</v>
      </c>
      <c r="M42" s="228">
        <v>-7.3770788593582735</v>
      </c>
      <c r="N42" s="228">
        <v>-6.6598628591428861</v>
      </c>
      <c r="O42" s="243">
        <v>-80.738029738532219</v>
      </c>
    </row>
    <row r="43" spans="1:15" ht="13" x14ac:dyDescent="0.3">
      <c r="A43" s="240"/>
      <c r="B43" s="241" t="s">
        <v>27</v>
      </c>
      <c r="C43" s="242">
        <v>-89.755167901826397</v>
      </c>
      <c r="D43" s="228">
        <v>-89.755167901826397</v>
      </c>
      <c r="E43" s="228">
        <v>-88.374319164875217</v>
      </c>
      <c r="F43" s="228">
        <v>-89.755167901826397</v>
      </c>
      <c r="G43" s="228">
        <v>-70.423285584509955</v>
      </c>
      <c r="H43" s="228">
        <v>-81.470075480119348</v>
      </c>
      <c r="I43" s="228">
        <v>-92.516865375728756</v>
      </c>
      <c r="J43" s="228">
        <v>-96.659411586582266</v>
      </c>
      <c r="K43" s="228">
        <v>-99.421109060484625</v>
      </c>
      <c r="L43" s="228">
        <v>-100.8019577974358</v>
      </c>
      <c r="M43" s="228">
        <v>-99.421109060484625</v>
      </c>
      <c r="N43" s="228">
        <v>-89.755167901826397</v>
      </c>
      <c r="O43" s="243">
        <v>-1088.108804717526</v>
      </c>
    </row>
    <row r="44" spans="1:15" x14ac:dyDescent="0.25">
      <c r="A44" s="240"/>
      <c r="B44" s="241" t="s">
        <v>51</v>
      </c>
      <c r="C44" s="244">
        <v>115.02192627757718</v>
      </c>
      <c r="D44" s="82">
        <v>115.02192627757718</v>
      </c>
      <c r="E44" s="82">
        <v>113.25235818099907</v>
      </c>
      <c r="F44" s="82">
        <v>115.02192627757718</v>
      </c>
      <c r="G44" s="82">
        <v>90.247972925483637</v>
      </c>
      <c r="H44" s="82">
        <v>104.40451769810852</v>
      </c>
      <c r="I44" s="82">
        <v>118.5610624707334</v>
      </c>
      <c r="J44" s="82">
        <v>123.86976676046773</v>
      </c>
      <c r="K44" s="82">
        <v>127.40890295362395</v>
      </c>
      <c r="L44" s="82">
        <v>129.17847105020206</v>
      </c>
      <c r="M44" s="82">
        <v>127.40890295362395</v>
      </c>
      <c r="N44" s="82">
        <v>115.02192627757718</v>
      </c>
      <c r="O44" s="245">
        <v>1394.4196601035512</v>
      </c>
    </row>
    <row r="45" spans="1:15" x14ac:dyDescent="0.25">
      <c r="A45" s="240"/>
      <c r="B45" s="241" t="s">
        <v>89</v>
      </c>
      <c r="C45" s="244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245">
        <v>0</v>
      </c>
    </row>
    <row r="46" spans="1:15" x14ac:dyDescent="0.25">
      <c r="A46" s="240"/>
      <c r="B46" s="241" t="s">
        <v>91</v>
      </c>
      <c r="C46" s="244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245">
        <v>0</v>
      </c>
    </row>
    <row r="47" spans="1:15" x14ac:dyDescent="0.25">
      <c r="A47" s="230" t="s">
        <v>8</v>
      </c>
      <c r="B47" s="230" t="s">
        <v>72</v>
      </c>
      <c r="C47" s="237">
        <v>46.170806093538538</v>
      </c>
      <c r="D47" s="238">
        <v>30.453084870206268</v>
      </c>
      <c r="E47" s="238">
        <v>29.470727293748002</v>
      </c>
      <c r="F47" s="238">
        <v>45.188448517080268</v>
      </c>
      <c r="G47" s="238">
        <v>57.959097011037734</v>
      </c>
      <c r="H47" s="238">
        <v>70.238566716766073</v>
      </c>
      <c r="I47" s="238">
        <v>74.167997022599138</v>
      </c>
      <c r="J47" s="238">
        <v>77.115069751973934</v>
      </c>
      <c r="K47" s="238">
        <v>71.712103081453463</v>
      </c>
      <c r="L47" s="238">
        <v>56.976739434579471</v>
      </c>
      <c r="M47" s="238">
        <v>30.453084870206268</v>
      </c>
      <c r="N47" s="238">
        <v>37.820766693643272</v>
      </c>
      <c r="O47" s="239">
        <v>627.7264913568323</v>
      </c>
    </row>
    <row r="48" spans="1:15" ht="13" x14ac:dyDescent="0.3">
      <c r="A48" s="240"/>
      <c r="B48" s="241" t="s">
        <v>25</v>
      </c>
      <c r="C48" s="242">
        <v>-120.16859498480383</v>
      </c>
      <c r="D48" s="228">
        <v>-79.260137117636575</v>
      </c>
      <c r="E48" s="228">
        <v>-76.70335850093862</v>
      </c>
      <c r="F48" s="228">
        <v>-117.61181636810588</v>
      </c>
      <c r="G48" s="228">
        <v>-150.84993838517931</v>
      </c>
      <c r="H48" s="228">
        <v>-182.80967109390372</v>
      </c>
      <c r="I48" s="228">
        <v>-193.03678556069553</v>
      </c>
      <c r="J48" s="228">
        <v>-200.7071214107894</v>
      </c>
      <c r="K48" s="228">
        <v>-186.64483901895068</v>
      </c>
      <c r="L48" s="228">
        <v>-148.29315976848136</v>
      </c>
      <c r="M48" s="228">
        <v>-79.260137117636575</v>
      </c>
      <c r="N48" s="228">
        <v>-98.435976742871247</v>
      </c>
      <c r="O48" s="243">
        <v>-1633.7815360699926</v>
      </c>
    </row>
    <row r="49" spans="1:15" ht="13" x14ac:dyDescent="0.3">
      <c r="A49" s="240"/>
      <c r="B49" s="241" t="s">
        <v>26</v>
      </c>
      <c r="C49" s="242">
        <v>-9.6311862886066351</v>
      </c>
      <c r="D49" s="228">
        <v>-6.35248457333629</v>
      </c>
      <c r="E49" s="228">
        <v>-6.1475657161318944</v>
      </c>
      <c r="F49" s="228">
        <v>-9.4262674314022377</v>
      </c>
      <c r="G49" s="228">
        <v>-12.090212575059391</v>
      </c>
      <c r="H49" s="228">
        <v>-14.651698290114346</v>
      </c>
      <c r="I49" s="228">
        <v>-15.471373718931932</v>
      </c>
      <c r="J49" s="228">
        <v>-16.086130290545121</v>
      </c>
      <c r="K49" s="228">
        <v>-14.959076575920941</v>
      </c>
      <c r="L49" s="228">
        <v>-11.885293717854994</v>
      </c>
      <c r="M49" s="228">
        <v>-6.35248457333629</v>
      </c>
      <c r="N49" s="228">
        <v>-7.8893760023692634</v>
      </c>
      <c r="O49" s="243">
        <v>-130.94314975360933</v>
      </c>
    </row>
    <row r="50" spans="1:15" ht="13" x14ac:dyDescent="0.3">
      <c r="A50" s="240"/>
      <c r="B50" s="241" t="s">
        <v>27</v>
      </c>
      <c r="C50" s="242">
        <v>-129.79978127341047</v>
      </c>
      <c r="D50" s="228">
        <v>-85.612621690972858</v>
      </c>
      <c r="E50" s="228">
        <v>-82.850924217070514</v>
      </c>
      <c r="F50" s="228">
        <v>-127.03808379950812</v>
      </c>
      <c r="G50" s="228">
        <v>-162.9401509602387</v>
      </c>
      <c r="H50" s="228">
        <v>-197.46136938401807</v>
      </c>
      <c r="I50" s="228">
        <v>-208.50815927962748</v>
      </c>
      <c r="J50" s="228">
        <v>-216.79325170133453</v>
      </c>
      <c r="K50" s="228">
        <v>-201.60391559487161</v>
      </c>
      <c r="L50" s="228">
        <v>-160.17845348633637</v>
      </c>
      <c r="M50" s="228">
        <v>-85.612621690972858</v>
      </c>
      <c r="N50" s="228">
        <v>-106.32535274524051</v>
      </c>
      <c r="O50" s="243">
        <v>-1764.7246858236022</v>
      </c>
    </row>
    <row r="51" spans="1:15" x14ac:dyDescent="0.25">
      <c r="A51" s="240"/>
      <c r="B51" s="241" t="s">
        <v>51</v>
      </c>
      <c r="C51" s="244">
        <v>166.33940107834238</v>
      </c>
      <c r="D51" s="82">
        <v>109.71322198784284</v>
      </c>
      <c r="E51" s="82">
        <v>106.17408579468662</v>
      </c>
      <c r="F51" s="82">
        <v>162.80026488518615</v>
      </c>
      <c r="G51" s="82">
        <v>208.80903539621704</v>
      </c>
      <c r="H51" s="82">
        <v>253.0482378106698</v>
      </c>
      <c r="I51" s="82">
        <v>267.20478258329467</v>
      </c>
      <c r="J51" s="82">
        <v>277.82219116276332</v>
      </c>
      <c r="K51" s="82">
        <v>258.35694210040413</v>
      </c>
      <c r="L51" s="82">
        <v>205.26989920306082</v>
      </c>
      <c r="M51" s="82">
        <v>109.71322198784284</v>
      </c>
      <c r="N51" s="82">
        <v>136.25674343651451</v>
      </c>
      <c r="O51" s="245">
        <v>2261.5080274268253</v>
      </c>
    </row>
    <row r="52" spans="1:15" x14ac:dyDescent="0.25">
      <c r="A52" s="240"/>
      <c r="B52" s="241" t="s">
        <v>89</v>
      </c>
      <c r="C52" s="244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245">
        <v>0</v>
      </c>
    </row>
    <row r="53" spans="1:15" x14ac:dyDescent="0.25">
      <c r="A53" s="240"/>
      <c r="B53" s="241" t="s">
        <v>91</v>
      </c>
      <c r="C53" s="244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245">
        <v>0</v>
      </c>
    </row>
    <row r="54" spans="1:15" x14ac:dyDescent="0.25">
      <c r="A54" s="230" t="s">
        <v>21</v>
      </c>
      <c r="B54" s="230" t="s">
        <v>72</v>
      </c>
      <c r="C54" s="237">
        <v>1597.3134193211417</v>
      </c>
      <c r="D54" s="238">
        <v>1148.3760068797137</v>
      </c>
      <c r="E54" s="238">
        <v>1088.4521947157596</v>
      </c>
      <c r="F54" s="238">
        <v>1364.0034949123033</v>
      </c>
      <c r="G54" s="238">
        <v>1593.8751678035378</v>
      </c>
      <c r="H54" s="238">
        <v>2004.0094559748641</v>
      </c>
      <c r="I54" s="238">
        <v>2037.9007923626743</v>
      </c>
      <c r="J54" s="238">
        <v>2038.8831499391326</v>
      </c>
      <c r="K54" s="238">
        <v>1895.4589437762256</v>
      </c>
      <c r="L54" s="238">
        <v>1684.2520648376983</v>
      </c>
      <c r="M54" s="238">
        <v>1090.4169098686762</v>
      </c>
      <c r="N54" s="238">
        <v>1261.8383069606436</v>
      </c>
      <c r="O54" s="239">
        <v>18804.779907352371</v>
      </c>
    </row>
    <row r="55" spans="1:15" ht="13" x14ac:dyDescent="0.3">
      <c r="A55" s="240"/>
      <c r="B55" s="241" t="s">
        <v>25</v>
      </c>
      <c r="C55" s="242">
        <v>-4157.3220307508736</v>
      </c>
      <c r="D55" s="228">
        <v>-2988.8742029199084</v>
      </c>
      <c r="E55" s="228">
        <v>-2832.9107073013333</v>
      </c>
      <c r="F55" s="228">
        <v>-3550.0871092851098</v>
      </c>
      <c r="G55" s="228">
        <v>-4148.3733055924304</v>
      </c>
      <c r="H55" s="228">
        <v>-5215.8283780638267</v>
      </c>
      <c r="I55" s="228">
        <v>-5304.037240339906</v>
      </c>
      <c r="J55" s="228">
        <v>-5306.5940189566036</v>
      </c>
      <c r="K55" s="228">
        <v>-4933.304340918703</v>
      </c>
      <c r="L55" s="228">
        <v>-4383.596938328642</v>
      </c>
      <c r="M55" s="228">
        <v>-2838.0242645347289</v>
      </c>
      <c r="N55" s="228">
        <v>-3284.1821331485226</v>
      </c>
      <c r="O55" s="243">
        <v>-48943.134670140586</v>
      </c>
    </row>
    <row r="56" spans="1:15" ht="13" x14ac:dyDescent="0.3">
      <c r="A56" s="240"/>
      <c r="B56" s="241" t="s">
        <v>26</v>
      </c>
      <c r="C56" s="242">
        <v>-333.19806181434865</v>
      </c>
      <c r="D56" s="228">
        <v>-239.55014407193949</v>
      </c>
      <c r="E56" s="228">
        <v>-227.05009378247127</v>
      </c>
      <c r="F56" s="228">
        <v>-284.52983322830448</v>
      </c>
      <c r="G56" s="228">
        <v>-332.48084581413326</v>
      </c>
      <c r="H56" s="228">
        <v>-418.03446869696876</v>
      </c>
      <c r="I56" s="228">
        <v>-425.10416927052046</v>
      </c>
      <c r="J56" s="228">
        <v>-425.30908812772492</v>
      </c>
      <c r="K56" s="228">
        <v>-395.390934975883</v>
      </c>
      <c r="L56" s="228">
        <v>-351.33338067693779</v>
      </c>
      <c r="M56" s="228">
        <v>-227.45993149688007</v>
      </c>
      <c r="N56" s="228">
        <v>-263.21827207904727</v>
      </c>
      <c r="O56" s="243">
        <v>-3922.6592240351592</v>
      </c>
    </row>
    <row r="57" spans="1:15" ht="13" x14ac:dyDescent="0.3">
      <c r="A57" s="240"/>
      <c r="B57" s="241" t="s">
        <v>27</v>
      </c>
      <c r="C57" s="242">
        <v>-4490.5200925652225</v>
      </c>
      <c r="D57" s="228">
        <v>-3228.4243469918479</v>
      </c>
      <c r="E57" s="228">
        <v>-3059.9608010838047</v>
      </c>
      <c r="F57" s="228">
        <v>-3834.6169425134144</v>
      </c>
      <c r="G57" s="228">
        <v>-4480.8541514065637</v>
      </c>
      <c r="H57" s="228">
        <v>-5633.862846760795</v>
      </c>
      <c r="I57" s="228">
        <v>-5729.1414096104263</v>
      </c>
      <c r="J57" s="228">
        <v>-5731.9031070843284</v>
      </c>
      <c r="K57" s="228">
        <v>-5328.6952758945863</v>
      </c>
      <c r="L57" s="228">
        <v>-4734.9303190055798</v>
      </c>
      <c r="M57" s="228">
        <v>-3065.4841960316089</v>
      </c>
      <c r="N57" s="228">
        <v>-3547.40040522757</v>
      </c>
      <c r="O57" s="243">
        <v>-52865.793894175753</v>
      </c>
    </row>
    <row r="58" spans="1:15" x14ac:dyDescent="0.25">
      <c r="A58" s="240"/>
      <c r="B58" s="241" t="s">
        <v>51</v>
      </c>
      <c r="C58" s="244">
        <v>5754.6354500720154</v>
      </c>
      <c r="D58" s="82">
        <v>4137.2502097996221</v>
      </c>
      <c r="E58" s="82">
        <v>3921.3629020170929</v>
      </c>
      <c r="F58" s="82">
        <v>4914.0906041974131</v>
      </c>
      <c r="G58" s="82">
        <v>5742.2484733959682</v>
      </c>
      <c r="H58" s="82">
        <v>7219.8378340386907</v>
      </c>
      <c r="I58" s="82">
        <v>7341.9380327025801</v>
      </c>
      <c r="J58" s="82">
        <v>7345.4771688957362</v>
      </c>
      <c r="K58" s="82">
        <v>6828.7632846949282</v>
      </c>
      <c r="L58" s="82">
        <v>6067.8490031663405</v>
      </c>
      <c r="M58" s="82">
        <v>3928.4411744034051</v>
      </c>
      <c r="N58" s="82">
        <v>4546.020440109166</v>
      </c>
      <c r="O58" s="245">
        <v>67747.914577492949</v>
      </c>
    </row>
    <row r="59" spans="1:15" x14ac:dyDescent="0.25">
      <c r="A59" s="240"/>
      <c r="B59" s="241" t="s">
        <v>89</v>
      </c>
      <c r="C59" s="244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245">
        <v>0</v>
      </c>
    </row>
    <row r="60" spans="1:15" x14ac:dyDescent="0.25">
      <c r="A60" s="240"/>
      <c r="B60" s="241" t="s">
        <v>91</v>
      </c>
      <c r="C60" s="244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245">
        <v>0</v>
      </c>
    </row>
    <row r="61" spans="1:15" x14ac:dyDescent="0.25">
      <c r="A61" s="230" t="s">
        <v>22</v>
      </c>
      <c r="B61" s="230" t="s">
        <v>72</v>
      </c>
      <c r="C61" s="237">
        <v>1623.8370738855149</v>
      </c>
      <c r="D61" s="238">
        <v>1282.4678160662672</v>
      </c>
      <c r="E61" s="238">
        <v>1130.693570503465</v>
      </c>
      <c r="F61" s="238">
        <v>1221.0704675376255</v>
      </c>
      <c r="G61" s="238">
        <v>1458.801001040526</v>
      </c>
      <c r="H61" s="238">
        <v>1710.7757194020714</v>
      </c>
      <c r="I61" s="238">
        <v>1724.0375466842581</v>
      </c>
      <c r="J61" s="238">
        <v>1755.4729891309225</v>
      </c>
      <c r="K61" s="238">
        <v>1565.8779768744771</v>
      </c>
      <c r="L61" s="238">
        <v>1371.8623555239694</v>
      </c>
      <c r="M61" s="238">
        <v>1148.867185667943</v>
      </c>
      <c r="N61" s="238">
        <v>1237.7705463374161</v>
      </c>
      <c r="O61" s="239">
        <v>17231.534248654458</v>
      </c>
    </row>
    <row r="62" spans="1:15" ht="13" x14ac:dyDescent="0.3">
      <c r="A62" s="240"/>
      <c r="B62" s="241" t="s">
        <v>25</v>
      </c>
      <c r="C62" s="242">
        <v>-4226.3550534017186</v>
      </c>
      <c r="D62" s="228">
        <v>-3337.8744840991794</v>
      </c>
      <c r="E62" s="228">
        <v>-2942.8521878193451</v>
      </c>
      <c r="F62" s="228">
        <v>-3178.0758205555567</v>
      </c>
      <c r="G62" s="228">
        <v>-3796.8162457964618</v>
      </c>
      <c r="H62" s="228">
        <v>-4452.6299609794869</v>
      </c>
      <c r="I62" s="228">
        <v>-4487.1464723049094</v>
      </c>
      <c r="J62" s="228">
        <v>-4568.9633880392439</v>
      </c>
      <c r="K62" s="228">
        <v>-4075.5051150165391</v>
      </c>
      <c r="L62" s="228">
        <v>-3570.5413382186935</v>
      </c>
      <c r="M62" s="228">
        <v>-2990.1525922282572</v>
      </c>
      <c r="N62" s="228">
        <v>-3221.5410570394224</v>
      </c>
      <c r="O62" s="243">
        <v>-44848.453715498821</v>
      </c>
    </row>
    <row r="63" spans="1:15" ht="13" x14ac:dyDescent="0.3">
      <c r="A63" s="240"/>
      <c r="B63" s="241" t="s">
        <v>26</v>
      </c>
      <c r="C63" s="242">
        <v>-338.7308709588674</v>
      </c>
      <c r="D63" s="228">
        <v>-267.52156808033959</v>
      </c>
      <c r="E63" s="228">
        <v>-235.86160464226032</v>
      </c>
      <c r="F63" s="228">
        <v>-254.71413950506482</v>
      </c>
      <c r="G63" s="228">
        <v>-304.30450294852875</v>
      </c>
      <c r="H63" s="228">
        <v>-356.86618982145643</v>
      </c>
      <c r="I63" s="228">
        <v>-359.63259439371581</v>
      </c>
      <c r="J63" s="228">
        <v>-366.18999782425647</v>
      </c>
      <c r="K63" s="228">
        <v>-326.64065838380793</v>
      </c>
      <c r="L63" s="228">
        <v>-286.16918408593966</v>
      </c>
      <c r="M63" s="228">
        <v>-239.65260350054166</v>
      </c>
      <c r="N63" s="228">
        <v>-258.19776007753956</v>
      </c>
      <c r="O63" s="243">
        <v>-3594.4816742223184</v>
      </c>
    </row>
    <row r="64" spans="1:15" ht="13" x14ac:dyDescent="0.3">
      <c r="A64" s="240"/>
      <c r="B64" s="241" t="s">
        <v>27</v>
      </c>
      <c r="C64" s="242">
        <v>-4565.0859243605864</v>
      </c>
      <c r="D64" s="228">
        <v>-3605.3960521795188</v>
      </c>
      <c r="E64" s="228">
        <v>-3178.7137924616054</v>
      </c>
      <c r="F64" s="228">
        <v>-3432.7899600606215</v>
      </c>
      <c r="G64" s="228">
        <v>-4101.1207487449901</v>
      </c>
      <c r="H64" s="228">
        <v>-4809.4961508009437</v>
      </c>
      <c r="I64" s="228">
        <v>-4846.7790666986248</v>
      </c>
      <c r="J64" s="228">
        <v>-4935.1533858635003</v>
      </c>
      <c r="K64" s="228">
        <v>-4402.145773400347</v>
      </c>
      <c r="L64" s="228">
        <v>-3856.7105223046333</v>
      </c>
      <c r="M64" s="228">
        <v>-3229.8051957287989</v>
      </c>
      <c r="N64" s="228">
        <v>-3479.7388171169619</v>
      </c>
      <c r="O64" s="243">
        <v>-48442.935389721126</v>
      </c>
    </row>
    <row r="65" spans="1:15" x14ac:dyDescent="0.25">
      <c r="A65" s="240"/>
      <c r="B65" s="241" t="s">
        <v>51</v>
      </c>
      <c r="C65" s="244">
        <v>5850.1921272872332</v>
      </c>
      <c r="D65" s="82">
        <v>4620.3423001654464</v>
      </c>
      <c r="E65" s="82">
        <v>4073.5457583228103</v>
      </c>
      <c r="F65" s="82">
        <v>4399.1462880931822</v>
      </c>
      <c r="G65" s="82">
        <v>5255.6172468369878</v>
      </c>
      <c r="H65" s="82">
        <v>6163.4056803815583</v>
      </c>
      <c r="I65" s="82">
        <v>6211.1840189891673</v>
      </c>
      <c r="J65" s="82">
        <v>6324.4363771701665</v>
      </c>
      <c r="K65" s="82">
        <v>5641.3830918910162</v>
      </c>
      <c r="L65" s="82">
        <v>4942.4036937426627</v>
      </c>
      <c r="M65" s="82">
        <v>4139.0197778962001</v>
      </c>
      <c r="N65" s="82">
        <v>4459.3116033768383</v>
      </c>
      <c r="O65" s="245">
        <v>62079.987964153275</v>
      </c>
    </row>
    <row r="66" spans="1:15" x14ac:dyDescent="0.25">
      <c r="A66" s="240"/>
      <c r="B66" s="241" t="s">
        <v>89</v>
      </c>
      <c r="C66" s="24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245">
        <v>0</v>
      </c>
    </row>
    <row r="67" spans="1:15" x14ac:dyDescent="0.25">
      <c r="A67" s="240"/>
      <c r="B67" s="241" t="s">
        <v>91</v>
      </c>
      <c r="C67" s="244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245">
        <v>0</v>
      </c>
    </row>
    <row r="68" spans="1:15" x14ac:dyDescent="0.25">
      <c r="A68" s="230" t="s">
        <v>9</v>
      </c>
      <c r="B68" s="230" t="s">
        <v>72</v>
      </c>
      <c r="C68" s="237">
        <v>36.838409117185002</v>
      </c>
      <c r="D68" s="238">
        <v>26.523654564373203</v>
      </c>
      <c r="E68" s="238">
        <v>24.067760623227535</v>
      </c>
      <c r="F68" s="238">
        <v>21.120687893852736</v>
      </c>
      <c r="G68" s="238">
        <v>24.558939411456667</v>
      </c>
      <c r="H68" s="238">
        <v>28.979548505518867</v>
      </c>
      <c r="I68" s="238">
        <v>29.470727293748002</v>
      </c>
      <c r="J68" s="238">
        <v>27.506012140831469</v>
      </c>
      <c r="K68" s="238">
        <v>27.014833352602334</v>
      </c>
      <c r="L68" s="238">
        <v>25.050118199685802</v>
      </c>
      <c r="M68" s="238">
        <v>19.647151529165335</v>
      </c>
      <c r="N68" s="238">
        <v>25.050118199685802</v>
      </c>
      <c r="O68" s="239">
        <v>315.82796083133275</v>
      </c>
    </row>
    <row r="69" spans="1:15" ht="13" x14ac:dyDescent="0.3">
      <c r="A69" s="240"/>
      <c r="B69" s="241" t="s">
        <v>25</v>
      </c>
      <c r="C69" s="242">
        <v>-95.879198126173293</v>
      </c>
      <c r="D69" s="228">
        <v>-69.033022650844757</v>
      </c>
      <c r="E69" s="228">
        <v>-62.641076109099878</v>
      </c>
      <c r="F69" s="228">
        <v>-54.970740259006021</v>
      </c>
      <c r="G69" s="228">
        <v>-63.919465417448862</v>
      </c>
      <c r="H69" s="228">
        <v>-75.424969192589657</v>
      </c>
      <c r="I69" s="228">
        <v>-76.70335850093862</v>
      </c>
      <c r="J69" s="228">
        <v>-71.589801267542711</v>
      </c>
      <c r="K69" s="228">
        <v>-70.311411959193734</v>
      </c>
      <c r="L69" s="228">
        <v>-65.197854725797839</v>
      </c>
      <c r="M69" s="228">
        <v>-51.135572333959082</v>
      </c>
      <c r="N69" s="228">
        <v>-65.197854725797839</v>
      </c>
      <c r="O69" s="243">
        <v>-822.00432526839222</v>
      </c>
    </row>
    <row r="70" spans="1:15" ht="13" x14ac:dyDescent="0.3">
      <c r="A70" s="240"/>
      <c r="B70" s="241" t="s">
        <v>26</v>
      </c>
      <c r="C70" s="242">
        <v>-7.6844571451648678</v>
      </c>
      <c r="D70" s="228">
        <v>-5.5328091445187049</v>
      </c>
      <c r="E70" s="228">
        <v>-5.020512001507714</v>
      </c>
      <c r="F70" s="228">
        <v>-4.4057554298945245</v>
      </c>
      <c r="G70" s="228">
        <v>-5.1229714301099119</v>
      </c>
      <c r="H70" s="228">
        <v>-6.0451062875296957</v>
      </c>
      <c r="I70" s="228">
        <v>-6.1475657161318944</v>
      </c>
      <c r="J70" s="228">
        <v>-5.7377280017231014</v>
      </c>
      <c r="K70" s="228">
        <v>-5.6352685731209027</v>
      </c>
      <c r="L70" s="228">
        <v>-5.2254308587121097</v>
      </c>
      <c r="M70" s="228">
        <v>-4.0983771440879293</v>
      </c>
      <c r="N70" s="228">
        <v>-5.2254308587121097</v>
      </c>
      <c r="O70" s="243">
        <v>-65.881412591213461</v>
      </c>
    </row>
    <row r="71" spans="1:15" ht="13" x14ac:dyDescent="0.3">
      <c r="A71" s="240"/>
      <c r="B71" s="241" t="s">
        <v>27</v>
      </c>
      <c r="C71" s="242">
        <v>-103.56365527133816</v>
      </c>
      <c r="D71" s="228">
        <v>-74.565831795363465</v>
      </c>
      <c r="E71" s="228">
        <v>-67.661588110607596</v>
      </c>
      <c r="F71" s="228">
        <v>-59.376495688900548</v>
      </c>
      <c r="G71" s="228">
        <v>-69.042436847558776</v>
      </c>
      <c r="H71" s="228">
        <v>-81.470075480119348</v>
      </c>
      <c r="I71" s="228">
        <v>-82.850924217070514</v>
      </c>
      <c r="J71" s="228">
        <v>-77.32752926926581</v>
      </c>
      <c r="K71" s="228">
        <v>-75.94668053231463</v>
      </c>
      <c r="L71" s="228">
        <v>-70.423285584509955</v>
      </c>
      <c r="M71" s="228">
        <v>-55.233949478047009</v>
      </c>
      <c r="N71" s="228">
        <v>-70.423285584509955</v>
      </c>
      <c r="O71" s="243">
        <v>-887.88573785960568</v>
      </c>
    </row>
    <row r="72" spans="1:15" x14ac:dyDescent="0.25">
      <c r="A72" s="240"/>
      <c r="B72" s="241" t="s">
        <v>51</v>
      </c>
      <c r="C72" s="244">
        <v>132.71760724335829</v>
      </c>
      <c r="D72" s="82">
        <v>95.55667721521796</v>
      </c>
      <c r="E72" s="82">
        <v>86.708836732327413</v>
      </c>
      <c r="F72" s="82">
        <v>76.091428152858754</v>
      </c>
      <c r="G72" s="82">
        <v>88.478404828905525</v>
      </c>
      <c r="H72" s="82">
        <v>104.40451769810852</v>
      </c>
      <c r="I72" s="82">
        <v>106.17408579468662</v>
      </c>
      <c r="J72" s="82">
        <v>99.095813408374184</v>
      </c>
      <c r="K72" s="82">
        <v>97.326245311796072</v>
      </c>
      <c r="L72" s="82">
        <v>90.247972925483637</v>
      </c>
      <c r="M72" s="82">
        <v>70.782723863124417</v>
      </c>
      <c r="N72" s="82">
        <v>90.247972925483637</v>
      </c>
      <c r="O72" s="245">
        <v>1137.8322860997253</v>
      </c>
    </row>
    <row r="73" spans="1:15" x14ac:dyDescent="0.25">
      <c r="A73" s="240"/>
      <c r="B73" s="241" t="s">
        <v>89</v>
      </c>
      <c r="C73" s="244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245">
        <v>0</v>
      </c>
    </row>
    <row r="74" spans="1:15" x14ac:dyDescent="0.25">
      <c r="A74" s="240"/>
      <c r="B74" s="241" t="s">
        <v>91</v>
      </c>
      <c r="C74" s="244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245">
        <v>0</v>
      </c>
    </row>
    <row r="75" spans="1:15" x14ac:dyDescent="0.25">
      <c r="A75" s="230" t="s">
        <v>56</v>
      </c>
      <c r="B75" s="230" t="s">
        <v>72</v>
      </c>
      <c r="C75" s="237">
        <v>71.220924293224343</v>
      </c>
      <c r="D75" s="238">
        <v>49.117878822913333</v>
      </c>
      <c r="E75" s="238">
        <v>45.188448517080268</v>
      </c>
      <c r="F75" s="238">
        <v>49.609057611142468</v>
      </c>
      <c r="G75" s="238">
        <v>57.959097011037734</v>
      </c>
      <c r="H75" s="238">
        <v>84.973930363640065</v>
      </c>
      <c r="I75" s="238">
        <v>80.553321269577864</v>
      </c>
      <c r="J75" s="238">
        <v>83.500393998952674</v>
      </c>
      <c r="K75" s="238">
        <v>76.623890963744799</v>
      </c>
      <c r="L75" s="238">
        <v>68.273851563849533</v>
      </c>
      <c r="M75" s="238">
        <v>44.206090940622005</v>
      </c>
      <c r="N75" s="238">
        <v>54.029666705204669</v>
      </c>
      <c r="O75" s="239">
        <v>765.25655206098975</v>
      </c>
    </row>
    <row r="76" spans="1:15" x14ac:dyDescent="0.25">
      <c r="A76" s="240"/>
      <c r="B76" s="241" t="s">
        <v>25</v>
      </c>
      <c r="C76" s="244">
        <v>-185.36644971060167</v>
      </c>
      <c r="D76" s="82">
        <v>-127.83893083489772</v>
      </c>
      <c r="E76" s="82">
        <v>-117.61181636810588</v>
      </c>
      <c r="F76" s="82">
        <v>-129.11732014324667</v>
      </c>
      <c r="G76" s="82">
        <v>-150.84993838517931</v>
      </c>
      <c r="H76" s="82">
        <v>-221.16135034437303</v>
      </c>
      <c r="I76" s="82">
        <v>-209.65584656923227</v>
      </c>
      <c r="J76" s="82">
        <v>-217.32618241932607</v>
      </c>
      <c r="K76" s="82">
        <v>-199.42873210244042</v>
      </c>
      <c r="L76" s="82">
        <v>-177.69611386050781</v>
      </c>
      <c r="M76" s="82">
        <v>-115.05503775140792</v>
      </c>
      <c r="N76" s="82">
        <v>-140.62282391838747</v>
      </c>
      <c r="O76" s="245">
        <v>-1991.730542407706</v>
      </c>
    </row>
    <row r="77" spans="1:15" x14ac:dyDescent="0.25">
      <c r="A77" s="240"/>
      <c r="B77" s="241" t="s">
        <v>26</v>
      </c>
      <c r="C77" s="244">
        <v>-14.856617147318744</v>
      </c>
      <c r="D77" s="82">
        <v>-10.245942860219824</v>
      </c>
      <c r="E77" s="82">
        <v>-9.4262674314022377</v>
      </c>
      <c r="F77" s="82">
        <v>-10.348402288822022</v>
      </c>
      <c r="G77" s="82">
        <v>-12.090212575059391</v>
      </c>
      <c r="H77" s="82">
        <v>-17.725481148180293</v>
      </c>
      <c r="I77" s="82">
        <v>-16.803346290760512</v>
      </c>
      <c r="J77" s="82">
        <v>-17.418102862373701</v>
      </c>
      <c r="K77" s="82">
        <v>-15.983670861942924</v>
      </c>
      <c r="L77" s="82">
        <v>-14.241860575705555</v>
      </c>
      <c r="M77" s="82">
        <v>-9.221348574197842</v>
      </c>
      <c r="N77" s="82">
        <v>-11.270537146241805</v>
      </c>
      <c r="O77" s="245">
        <v>-159.63178976222483</v>
      </c>
    </row>
    <row r="78" spans="1:15" x14ac:dyDescent="0.25">
      <c r="A78" s="240"/>
      <c r="B78" s="241" t="s">
        <v>27</v>
      </c>
      <c r="C78" s="244">
        <v>-200.2230668579204</v>
      </c>
      <c r="D78" s="82">
        <v>-138.08487369511755</v>
      </c>
      <c r="E78" s="82">
        <v>-127.03808379950812</v>
      </c>
      <c r="F78" s="82">
        <v>-139.4657224320687</v>
      </c>
      <c r="G78" s="82">
        <v>-162.9401509602387</v>
      </c>
      <c r="H78" s="82">
        <v>-238.88683149255331</v>
      </c>
      <c r="I78" s="82">
        <v>-226.45919285999278</v>
      </c>
      <c r="J78" s="82">
        <v>-234.74428528169977</v>
      </c>
      <c r="K78" s="82">
        <v>-215.41240296438335</v>
      </c>
      <c r="L78" s="82">
        <v>-191.93797443621335</v>
      </c>
      <c r="M78" s="82">
        <v>-124.27638632560577</v>
      </c>
      <c r="N78" s="82">
        <v>-151.89336106462926</v>
      </c>
      <c r="O78" s="245">
        <v>-2151.3623321699311</v>
      </c>
    </row>
    <row r="79" spans="1:15" x14ac:dyDescent="0.25">
      <c r="A79" s="240"/>
      <c r="B79" s="241" t="s">
        <v>51</v>
      </c>
      <c r="C79" s="244">
        <v>256.58737400382603</v>
      </c>
      <c r="D79" s="82">
        <v>176.95680965781105</v>
      </c>
      <c r="E79" s="82">
        <v>162.80026488518615</v>
      </c>
      <c r="F79" s="82">
        <v>178.72637775438915</v>
      </c>
      <c r="G79" s="82">
        <v>208.80903539621704</v>
      </c>
      <c r="H79" s="82">
        <v>306.13528070801311</v>
      </c>
      <c r="I79" s="82">
        <v>290.20916783881012</v>
      </c>
      <c r="J79" s="82">
        <v>300.82657641827876</v>
      </c>
      <c r="K79" s="82">
        <v>276.05262306618522</v>
      </c>
      <c r="L79" s="82">
        <v>245.96996542435735</v>
      </c>
      <c r="M79" s="82">
        <v>159.26112869202993</v>
      </c>
      <c r="N79" s="82">
        <v>194.65249062359214</v>
      </c>
      <c r="O79" s="245">
        <v>2756.9870944686963</v>
      </c>
    </row>
    <row r="80" spans="1:15" x14ac:dyDescent="0.25">
      <c r="A80" s="240"/>
      <c r="B80" s="241" t="s">
        <v>89</v>
      </c>
      <c r="C80" s="244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245">
        <v>0</v>
      </c>
    </row>
    <row r="81" spans="1:15" x14ac:dyDescent="0.25">
      <c r="A81" s="240"/>
      <c r="B81" s="241" t="s">
        <v>91</v>
      </c>
      <c r="C81" s="244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245">
        <v>0</v>
      </c>
    </row>
    <row r="82" spans="1:15" x14ac:dyDescent="0.25">
      <c r="A82" s="230" t="s">
        <v>57</v>
      </c>
      <c r="B82" s="230" t="s">
        <v>72</v>
      </c>
      <c r="C82" s="237">
        <v>4.4206090940622005</v>
      </c>
      <c r="D82" s="238">
        <v>3.9294303058330668</v>
      </c>
      <c r="E82" s="238">
        <v>4.9117878822913337</v>
      </c>
      <c r="F82" s="238">
        <v>3.4382515176039337</v>
      </c>
      <c r="G82" s="238">
        <v>4.9117878822913337</v>
      </c>
      <c r="H82" s="238">
        <v>4.9117878822913337</v>
      </c>
      <c r="I82" s="238">
        <v>5.8941454587496001</v>
      </c>
      <c r="J82" s="238">
        <v>5.8941454587496001</v>
      </c>
      <c r="K82" s="238">
        <v>5.4029666705204669</v>
      </c>
      <c r="L82" s="238">
        <v>4.9117878822913337</v>
      </c>
      <c r="M82" s="238">
        <v>4.9117878822913337</v>
      </c>
      <c r="N82" s="238">
        <v>4.9117878822913337</v>
      </c>
      <c r="O82" s="239">
        <v>58.450275799266876</v>
      </c>
    </row>
    <row r="83" spans="1:15" x14ac:dyDescent="0.25">
      <c r="A83" s="240"/>
      <c r="B83" s="241" t="s">
        <v>25</v>
      </c>
      <c r="C83" s="244">
        <v>-11.505503775140793</v>
      </c>
      <c r="D83" s="82">
        <v>-10.227114466791816</v>
      </c>
      <c r="E83" s="82">
        <v>-12.783893083489771</v>
      </c>
      <c r="F83" s="82">
        <v>-8.9487251584428389</v>
      </c>
      <c r="G83" s="82">
        <v>-12.783893083489771</v>
      </c>
      <c r="H83" s="82">
        <v>-12.783893083489771</v>
      </c>
      <c r="I83" s="82">
        <v>-15.340671700187725</v>
      </c>
      <c r="J83" s="82">
        <v>-15.340671700187725</v>
      </c>
      <c r="K83" s="82">
        <v>-14.062282391838746</v>
      </c>
      <c r="L83" s="82">
        <v>-12.783893083489771</v>
      </c>
      <c r="M83" s="82">
        <v>-12.783893083489771</v>
      </c>
      <c r="N83" s="82">
        <v>-12.783893083489771</v>
      </c>
      <c r="O83" s="245">
        <v>-152.12832769352826</v>
      </c>
    </row>
    <row r="84" spans="1:15" x14ac:dyDescent="0.25">
      <c r="A84" s="240"/>
      <c r="B84" s="241" t="s">
        <v>26</v>
      </c>
      <c r="C84" s="244">
        <v>-0.92213485741978418</v>
      </c>
      <c r="D84" s="82">
        <v>-0.81967542881758593</v>
      </c>
      <c r="E84" s="82">
        <v>-1.0245942860219823</v>
      </c>
      <c r="F84" s="82">
        <v>-0.71721600021538767</v>
      </c>
      <c r="G84" s="82">
        <v>-1.0245942860219823</v>
      </c>
      <c r="H84" s="82">
        <v>-1.0245942860219823</v>
      </c>
      <c r="I84" s="82">
        <v>-1.2295131432263788</v>
      </c>
      <c r="J84" s="82">
        <v>-1.2295131432263788</v>
      </c>
      <c r="K84" s="82">
        <v>-1.1270537146241806</v>
      </c>
      <c r="L84" s="82">
        <v>-1.0245942860219823</v>
      </c>
      <c r="M84" s="82">
        <v>-1.0245942860219823</v>
      </c>
      <c r="N84" s="82">
        <v>-1.0245942860219823</v>
      </c>
      <c r="O84" s="245">
        <v>-12.192672003661588</v>
      </c>
    </row>
    <row r="85" spans="1:15" x14ac:dyDescent="0.25">
      <c r="A85" s="240"/>
      <c r="B85" s="241" t="s">
        <v>27</v>
      </c>
      <c r="C85" s="244">
        <v>-12.427638632560578</v>
      </c>
      <c r="D85" s="82">
        <v>-11.046789895609402</v>
      </c>
      <c r="E85" s="82">
        <v>-13.808487369511752</v>
      </c>
      <c r="F85" s="82">
        <v>-9.6659411586582262</v>
      </c>
      <c r="G85" s="82">
        <v>-13.808487369511752</v>
      </c>
      <c r="H85" s="82">
        <v>-13.808487369511752</v>
      </c>
      <c r="I85" s="82">
        <v>-16.570184843414104</v>
      </c>
      <c r="J85" s="82">
        <v>-16.570184843414104</v>
      </c>
      <c r="K85" s="82">
        <v>-15.189336106462926</v>
      </c>
      <c r="L85" s="82">
        <v>-13.808487369511752</v>
      </c>
      <c r="M85" s="82">
        <v>-13.808487369511752</v>
      </c>
      <c r="N85" s="82">
        <v>-13.808487369511752</v>
      </c>
      <c r="O85" s="245">
        <v>-164.32099969718985</v>
      </c>
    </row>
    <row r="86" spans="1:15" x14ac:dyDescent="0.25">
      <c r="A86" s="240"/>
      <c r="B86" s="241" t="s">
        <v>51</v>
      </c>
      <c r="C86" s="244">
        <v>15.926112869202994</v>
      </c>
      <c r="D86" s="82">
        <v>14.156544772624883</v>
      </c>
      <c r="E86" s="82">
        <v>17.695680965781104</v>
      </c>
      <c r="F86" s="82">
        <v>12.386976676046773</v>
      </c>
      <c r="G86" s="82">
        <v>17.695680965781104</v>
      </c>
      <c r="H86" s="82">
        <v>17.695680965781104</v>
      </c>
      <c r="I86" s="82">
        <v>21.234817158937325</v>
      </c>
      <c r="J86" s="82">
        <v>21.234817158937325</v>
      </c>
      <c r="K86" s="82">
        <v>19.465249062359213</v>
      </c>
      <c r="L86" s="82">
        <v>17.695680965781104</v>
      </c>
      <c r="M86" s="82">
        <v>17.695680965781104</v>
      </c>
      <c r="N86" s="82">
        <v>17.695680965781104</v>
      </c>
      <c r="O86" s="245">
        <v>210.57860349279511</v>
      </c>
    </row>
    <row r="87" spans="1:15" x14ac:dyDescent="0.25">
      <c r="A87" s="240"/>
      <c r="B87" s="241" t="s">
        <v>89</v>
      </c>
      <c r="C87" s="244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245">
        <v>0</v>
      </c>
    </row>
    <row r="88" spans="1:15" x14ac:dyDescent="0.25">
      <c r="A88" s="240"/>
      <c r="B88" s="241" t="s">
        <v>91</v>
      </c>
      <c r="C88" s="244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245">
        <v>0</v>
      </c>
    </row>
    <row r="89" spans="1:15" x14ac:dyDescent="0.25">
      <c r="A89" s="230" t="s">
        <v>58</v>
      </c>
      <c r="B89" s="230" t="s">
        <v>72</v>
      </c>
      <c r="C89" s="237">
        <v>12.770648493957466</v>
      </c>
      <c r="D89" s="238">
        <v>9.3323969763535342</v>
      </c>
      <c r="E89" s="238">
        <v>8.841218188124401</v>
      </c>
      <c r="F89" s="238">
        <v>10.805933341040934</v>
      </c>
      <c r="G89" s="238">
        <v>15.226542435103134</v>
      </c>
      <c r="H89" s="238">
        <v>17.682436376248802</v>
      </c>
      <c r="I89" s="238">
        <v>18.664793952707068</v>
      </c>
      <c r="J89" s="238">
        <v>20.138330317394466</v>
      </c>
      <c r="K89" s="238">
        <v>14.244184858644868</v>
      </c>
      <c r="L89" s="238">
        <v>12.770648493957466</v>
      </c>
      <c r="M89" s="238">
        <v>10.805933341040934</v>
      </c>
      <c r="N89" s="238">
        <v>8.841218188124401</v>
      </c>
      <c r="O89" s="239">
        <v>160.12428496269749</v>
      </c>
    </row>
    <row r="90" spans="1:15" x14ac:dyDescent="0.25">
      <c r="A90" s="240"/>
      <c r="B90" s="241" t="s">
        <v>25</v>
      </c>
      <c r="C90" s="244">
        <v>-33.238122017073408</v>
      </c>
      <c r="D90" s="82">
        <v>-24.28939685863056</v>
      </c>
      <c r="E90" s="82">
        <v>-23.011007550281587</v>
      </c>
      <c r="F90" s="82">
        <v>-28.124564783677492</v>
      </c>
      <c r="G90" s="82">
        <v>-39.630068558818287</v>
      </c>
      <c r="H90" s="82">
        <v>-46.022015100563173</v>
      </c>
      <c r="I90" s="82">
        <v>-48.578793717261121</v>
      </c>
      <c r="J90" s="82">
        <v>-52.413961642308067</v>
      </c>
      <c r="K90" s="82">
        <v>-37.07328994212034</v>
      </c>
      <c r="L90" s="82">
        <v>-33.238122017073408</v>
      </c>
      <c r="M90" s="82">
        <v>-28.124564783677492</v>
      </c>
      <c r="N90" s="82">
        <v>-23.011007550281587</v>
      </c>
      <c r="O90" s="245">
        <v>-416.75491452176658</v>
      </c>
    </row>
    <row r="91" spans="1:15" x14ac:dyDescent="0.25">
      <c r="A91" s="240"/>
      <c r="B91" s="241" t="s">
        <v>26</v>
      </c>
      <c r="C91" s="244">
        <v>-2.6639451436571542</v>
      </c>
      <c r="D91" s="82">
        <v>-1.9467291434417666</v>
      </c>
      <c r="E91" s="82">
        <v>-1.8442697148395684</v>
      </c>
      <c r="F91" s="82">
        <v>-2.2541074292483612</v>
      </c>
      <c r="G91" s="82">
        <v>-3.176242286668145</v>
      </c>
      <c r="H91" s="82">
        <v>-3.6885394296791367</v>
      </c>
      <c r="I91" s="82">
        <v>-3.8934582868835332</v>
      </c>
      <c r="J91" s="82">
        <v>-4.200836572690128</v>
      </c>
      <c r="K91" s="82">
        <v>-2.9713234294637485</v>
      </c>
      <c r="L91" s="82">
        <v>-2.6639451436571542</v>
      </c>
      <c r="M91" s="82">
        <v>-2.2541074292483612</v>
      </c>
      <c r="N91" s="82">
        <v>-1.8442697148395684</v>
      </c>
      <c r="O91" s="245">
        <v>-33.401773724316627</v>
      </c>
    </row>
    <row r="92" spans="1:15" x14ac:dyDescent="0.25">
      <c r="A92" s="240"/>
      <c r="B92" s="241" t="s">
        <v>27</v>
      </c>
      <c r="C92" s="244">
        <v>-35.90206716073056</v>
      </c>
      <c r="D92" s="82">
        <v>-26.236126002072329</v>
      </c>
      <c r="E92" s="82">
        <v>-24.855277265121156</v>
      </c>
      <c r="F92" s="82">
        <v>-30.378672212925853</v>
      </c>
      <c r="G92" s="82">
        <v>-42.806310845486429</v>
      </c>
      <c r="H92" s="82">
        <v>-49.710554530242312</v>
      </c>
      <c r="I92" s="82">
        <v>-52.472252004144657</v>
      </c>
      <c r="J92" s="82">
        <v>-56.614798214998196</v>
      </c>
      <c r="K92" s="82">
        <v>-40.044613371584092</v>
      </c>
      <c r="L92" s="82">
        <v>-35.90206716073056</v>
      </c>
      <c r="M92" s="82">
        <v>-30.378672212925853</v>
      </c>
      <c r="N92" s="82">
        <v>-24.855277265121156</v>
      </c>
      <c r="O92" s="245">
        <v>-450.15668824608315</v>
      </c>
    </row>
    <row r="93" spans="1:15" x14ac:dyDescent="0.25">
      <c r="A93" s="240"/>
      <c r="B93" s="241" t="s">
        <v>51</v>
      </c>
      <c r="C93" s="244">
        <v>46.008770511030875</v>
      </c>
      <c r="D93" s="82">
        <v>33.621793834984096</v>
      </c>
      <c r="E93" s="82">
        <v>31.852225738405988</v>
      </c>
      <c r="F93" s="82">
        <v>38.930498124718426</v>
      </c>
      <c r="G93" s="82">
        <v>54.856610993921421</v>
      </c>
      <c r="H93" s="82">
        <v>63.704451476811975</v>
      </c>
      <c r="I93" s="82">
        <v>67.243587669968193</v>
      </c>
      <c r="J93" s="82">
        <v>72.552291959702529</v>
      </c>
      <c r="K93" s="82">
        <v>51.317474800765204</v>
      </c>
      <c r="L93" s="82">
        <v>46.008770511030875</v>
      </c>
      <c r="M93" s="82">
        <v>38.930498124718426</v>
      </c>
      <c r="N93" s="82">
        <v>31.852225738405988</v>
      </c>
      <c r="O93" s="245">
        <v>576.87919948446404</v>
      </c>
    </row>
    <row r="94" spans="1:15" x14ac:dyDescent="0.25">
      <c r="A94" s="240"/>
      <c r="B94" s="241" t="s">
        <v>89</v>
      </c>
      <c r="C94" s="244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245">
        <v>0</v>
      </c>
    </row>
    <row r="95" spans="1:15" x14ac:dyDescent="0.25">
      <c r="A95" s="240"/>
      <c r="B95" s="241" t="s">
        <v>91</v>
      </c>
      <c r="C95" s="244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245">
        <v>0</v>
      </c>
    </row>
    <row r="96" spans="1:15" x14ac:dyDescent="0.25">
      <c r="A96" s="230" t="s">
        <v>59</v>
      </c>
      <c r="B96" s="230" t="s">
        <v>72</v>
      </c>
      <c r="C96" s="237">
        <v>16.700078799790536</v>
      </c>
      <c r="D96" s="238">
        <v>15.717721223332267</v>
      </c>
      <c r="E96" s="238">
        <v>15.717721223332267</v>
      </c>
      <c r="F96" s="238">
        <v>16.208900011561401</v>
      </c>
      <c r="G96" s="238">
        <v>19.647151529165335</v>
      </c>
      <c r="H96" s="238">
        <v>23.085403046769269</v>
      </c>
      <c r="I96" s="238">
        <v>23.085403046769269</v>
      </c>
      <c r="J96" s="238">
        <v>25.050118199685802</v>
      </c>
      <c r="K96" s="238">
        <v>21.120687893852736</v>
      </c>
      <c r="L96" s="238">
        <v>18.173615164477933</v>
      </c>
      <c r="M96" s="238">
        <v>16.700078799790536</v>
      </c>
      <c r="N96" s="238">
        <v>15.717721223332267</v>
      </c>
      <c r="O96" s="239">
        <v>226.92460016185962</v>
      </c>
    </row>
    <row r="97" spans="1:15" x14ac:dyDescent="0.25">
      <c r="A97" s="240"/>
      <c r="B97" s="241" t="s">
        <v>25</v>
      </c>
      <c r="C97" s="244">
        <v>-43.465236483865226</v>
      </c>
      <c r="D97" s="82">
        <v>-40.908457867167265</v>
      </c>
      <c r="E97" s="82">
        <v>-40.908457867167265</v>
      </c>
      <c r="F97" s="82">
        <v>-42.186847175516249</v>
      </c>
      <c r="G97" s="82">
        <v>-51.135572333959082</v>
      </c>
      <c r="H97" s="82">
        <v>-60.084297492401916</v>
      </c>
      <c r="I97" s="82">
        <v>-60.084297492401916</v>
      </c>
      <c r="J97" s="82">
        <v>-65.197854725797839</v>
      </c>
      <c r="K97" s="82">
        <v>-54.970740259006021</v>
      </c>
      <c r="L97" s="82">
        <v>-47.300404408912144</v>
      </c>
      <c r="M97" s="82">
        <v>-43.465236483865226</v>
      </c>
      <c r="N97" s="82">
        <v>-40.908457867167265</v>
      </c>
      <c r="O97" s="245">
        <v>-590.61586045722743</v>
      </c>
    </row>
    <row r="98" spans="1:15" x14ac:dyDescent="0.25">
      <c r="A98" s="240"/>
      <c r="B98" s="241" t="s">
        <v>26</v>
      </c>
      <c r="C98" s="244">
        <v>-3.4836205724747402</v>
      </c>
      <c r="D98" s="82">
        <v>-3.2787017152703437</v>
      </c>
      <c r="E98" s="82">
        <v>-3.2787017152703437</v>
      </c>
      <c r="F98" s="82">
        <v>-3.3811611438725415</v>
      </c>
      <c r="G98" s="82">
        <v>-4.0983771440879293</v>
      </c>
      <c r="H98" s="82">
        <v>-4.8155931443033175</v>
      </c>
      <c r="I98" s="82">
        <v>-4.8155931443033175</v>
      </c>
      <c r="J98" s="82">
        <v>-5.2254308587121097</v>
      </c>
      <c r="K98" s="82">
        <v>-4.4057554298945245</v>
      </c>
      <c r="L98" s="82">
        <v>-3.7909988582813345</v>
      </c>
      <c r="M98" s="82">
        <v>-3.4836205724747402</v>
      </c>
      <c r="N98" s="82">
        <v>-3.2787017152703437</v>
      </c>
      <c r="O98" s="245">
        <v>-47.336256014215593</v>
      </c>
    </row>
    <row r="99" spans="1:15" x14ac:dyDescent="0.25">
      <c r="A99" s="240"/>
      <c r="B99" s="241" t="s">
        <v>27</v>
      </c>
      <c r="C99" s="244">
        <v>-46.948857056339968</v>
      </c>
      <c r="D99" s="82">
        <v>-44.187159582437609</v>
      </c>
      <c r="E99" s="82">
        <v>-44.187159582437609</v>
      </c>
      <c r="F99" s="82">
        <v>-45.568008319388788</v>
      </c>
      <c r="G99" s="82">
        <v>-55.233949478047009</v>
      </c>
      <c r="H99" s="82">
        <v>-64.899890636705237</v>
      </c>
      <c r="I99" s="82">
        <v>-64.899890636705237</v>
      </c>
      <c r="J99" s="82">
        <v>-70.423285584509955</v>
      </c>
      <c r="K99" s="82">
        <v>-59.376495688900548</v>
      </c>
      <c r="L99" s="82">
        <v>-51.091403267193478</v>
      </c>
      <c r="M99" s="82">
        <v>-46.948857056339968</v>
      </c>
      <c r="N99" s="82">
        <v>-44.187159582437609</v>
      </c>
      <c r="O99" s="245">
        <v>-637.95211647144299</v>
      </c>
    </row>
    <row r="100" spans="1:15" x14ac:dyDescent="0.25">
      <c r="A100" s="240"/>
      <c r="B100" s="241" t="s">
        <v>51</v>
      </c>
      <c r="C100" s="244">
        <v>60.165315283655758</v>
      </c>
      <c r="D100" s="82">
        <v>56.626179090499534</v>
      </c>
      <c r="E100" s="82">
        <v>56.626179090499534</v>
      </c>
      <c r="F100" s="82">
        <v>58.395747187077646</v>
      </c>
      <c r="G100" s="82">
        <v>70.782723863124417</v>
      </c>
      <c r="H100" s="82">
        <v>83.169700539171188</v>
      </c>
      <c r="I100" s="82">
        <v>83.169700539171188</v>
      </c>
      <c r="J100" s="82">
        <v>90.247972925483637</v>
      </c>
      <c r="K100" s="82">
        <v>76.091428152858754</v>
      </c>
      <c r="L100" s="82">
        <v>65.47401957339008</v>
      </c>
      <c r="M100" s="82">
        <v>60.165315283655758</v>
      </c>
      <c r="N100" s="82">
        <v>56.626179090499534</v>
      </c>
      <c r="O100" s="245">
        <v>817.54046061908707</v>
      </c>
    </row>
    <row r="101" spans="1:15" x14ac:dyDescent="0.25">
      <c r="A101" s="240"/>
      <c r="B101" s="241" t="s">
        <v>89</v>
      </c>
      <c r="C101" s="244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245">
        <v>0</v>
      </c>
    </row>
    <row r="102" spans="1:15" x14ac:dyDescent="0.25">
      <c r="A102" s="240"/>
      <c r="B102" s="241" t="s">
        <v>91</v>
      </c>
      <c r="C102" s="244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245">
        <v>0</v>
      </c>
    </row>
    <row r="103" spans="1:15" x14ac:dyDescent="0.25">
      <c r="A103" s="230" t="s">
        <v>83</v>
      </c>
      <c r="B103" s="230" t="s">
        <v>72</v>
      </c>
      <c r="C103" s="237">
        <v>106.09461825749281</v>
      </c>
      <c r="D103" s="238">
        <v>71.712103081453463</v>
      </c>
      <c r="E103" s="238">
        <v>55.503203069892066</v>
      </c>
      <c r="F103" s="238">
        <v>37.329587905414137</v>
      </c>
      <c r="G103" s="238">
        <v>58.941454587496004</v>
      </c>
      <c r="H103" s="238">
        <v>72.203281869682598</v>
      </c>
      <c r="I103" s="238">
        <v>76.132712175515664</v>
      </c>
      <c r="J103" s="238">
        <v>77.115069751973934</v>
      </c>
      <c r="K103" s="238">
        <v>61.8885273168708</v>
      </c>
      <c r="L103" s="238">
        <v>55.012024281662939</v>
      </c>
      <c r="M103" s="238">
        <v>45.679627305309403</v>
      </c>
      <c r="N103" s="238">
        <v>62.87088489332907</v>
      </c>
      <c r="O103" s="239">
        <v>780.4830944960928</v>
      </c>
    </row>
    <row r="104" spans="1:15" x14ac:dyDescent="0.25">
      <c r="A104" s="240"/>
      <c r="B104" s="241" t="s">
        <v>25</v>
      </c>
      <c r="C104" s="244">
        <v>-276.13209060337903</v>
      </c>
      <c r="D104" s="82">
        <v>-186.64483901895068</v>
      </c>
      <c r="E104" s="82">
        <v>-144.4579918434344</v>
      </c>
      <c r="F104" s="82">
        <v>-97.157587434522242</v>
      </c>
      <c r="G104" s="82">
        <v>-153.40671700187724</v>
      </c>
      <c r="H104" s="82">
        <v>-187.92322832729963</v>
      </c>
      <c r="I104" s="82">
        <v>-198.15034279409144</v>
      </c>
      <c r="J104" s="82">
        <v>-200.7071214107894</v>
      </c>
      <c r="K104" s="82">
        <v>-161.0770528519711</v>
      </c>
      <c r="L104" s="82">
        <v>-143.17960253508542</v>
      </c>
      <c r="M104" s="82">
        <v>-118.89020567645488</v>
      </c>
      <c r="N104" s="82">
        <v>-163.63383146866906</v>
      </c>
      <c r="O104" s="245">
        <v>-2031.3606109665243</v>
      </c>
    </row>
    <row r="105" spans="1:15" x14ac:dyDescent="0.25">
      <c r="A105" s="240"/>
      <c r="B105" s="241" t="s">
        <v>26</v>
      </c>
      <c r="C105" s="244">
        <v>-22.131236578074819</v>
      </c>
      <c r="D105" s="82">
        <v>-14.959076575920941</v>
      </c>
      <c r="E105" s="82">
        <v>-11.5779154320484</v>
      </c>
      <c r="F105" s="82">
        <v>-7.7869165737670665</v>
      </c>
      <c r="G105" s="82">
        <v>-12.295131432263789</v>
      </c>
      <c r="H105" s="82">
        <v>-15.061536004523141</v>
      </c>
      <c r="I105" s="82">
        <v>-15.881211433340727</v>
      </c>
      <c r="J105" s="82">
        <v>-16.086130290545121</v>
      </c>
      <c r="K105" s="82">
        <v>-12.909888003876977</v>
      </c>
      <c r="L105" s="82">
        <v>-11.475456003446203</v>
      </c>
      <c r="M105" s="82">
        <v>-9.5287268600044364</v>
      </c>
      <c r="N105" s="82">
        <v>-13.114806861081375</v>
      </c>
      <c r="O105" s="245">
        <v>-162.80803204889298</v>
      </c>
    </row>
    <row r="106" spans="1:15" x14ac:dyDescent="0.25">
      <c r="A106" s="240"/>
      <c r="B106" s="241" t="s">
        <v>27</v>
      </c>
      <c r="C106" s="244">
        <v>-298.26332718145386</v>
      </c>
      <c r="D106" s="82">
        <v>-201.60391559487161</v>
      </c>
      <c r="E106" s="82">
        <v>-156.0359072754828</v>
      </c>
      <c r="F106" s="82">
        <v>-104.94450400828931</v>
      </c>
      <c r="G106" s="82">
        <v>-165.70184843414103</v>
      </c>
      <c r="H106" s="82">
        <v>-202.98476433182276</v>
      </c>
      <c r="I106" s="82">
        <v>-214.03155422743217</v>
      </c>
      <c r="J106" s="82">
        <v>-216.79325170133453</v>
      </c>
      <c r="K106" s="82">
        <v>-173.98694085584808</v>
      </c>
      <c r="L106" s="82">
        <v>-154.65505853853162</v>
      </c>
      <c r="M106" s="82">
        <v>-128.41893253645932</v>
      </c>
      <c r="N106" s="82">
        <v>-176.74863832975043</v>
      </c>
      <c r="O106" s="245">
        <v>-2194.1686430154177</v>
      </c>
    </row>
    <row r="107" spans="1:15" x14ac:dyDescent="0.25">
      <c r="A107" s="240"/>
      <c r="B107" s="241" t="s">
        <v>51</v>
      </c>
      <c r="C107" s="244">
        <v>382.22670886087184</v>
      </c>
      <c r="D107" s="82">
        <v>258.35694210040413</v>
      </c>
      <c r="E107" s="82">
        <v>199.96119491332647</v>
      </c>
      <c r="F107" s="82">
        <v>134.48717533993639</v>
      </c>
      <c r="G107" s="82">
        <v>212.34817158937324</v>
      </c>
      <c r="H107" s="82">
        <v>260.12651019698222</v>
      </c>
      <c r="I107" s="82">
        <v>274.28305496960712</v>
      </c>
      <c r="J107" s="82">
        <v>277.82219116276332</v>
      </c>
      <c r="K107" s="82">
        <v>222.96558016884191</v>
      </c>
      <c r="L107" s="82">
        <v>198.19162681674837</v>
      </c>
      <c r="M107" s="82">
        <v>164.56983298176428</v>
      </c>
      <c r="N107" s="82">
        <v>226.50471636199813</v>
      </c>
      <c r="O107" s="245">
        <v>2811.8437054626174</v>
      </c>
    </row>
    <row r="108" spans="1:15" x14ac:dyDescent="0.25">
      <c r="A108" s="240"/>
      <c r="B108" s="241" t="s">
        <v>89</v>
      </c>
      <c r="C108" s="244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245">
        <v>0</v>
      </c>
    </row>
    <row r="109" spans="1:15" x14ac:dyDescent="0.25">
      <c r="A109" s="240"/>
      <c r="B109" s="241" t="s">
        <v>91</v>
      </c>
      <c r="C109" s="244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245">
        <v>0</v>
      </c>
    </row>
    <row r="110" spans="1:15" x14ac:dyDescent="0.25">
      <c r="A110" s="230" t="s">
        <v>85</v>
      </c>
      <c r="B110" s="230" t="s">
        <v>72</v>
      </c>
      <c r="C110" s="237">
        <v>28.488369717289736</v>
      </c>
      <c r="D110" s="238">
        <v>17.682436376248802</v>
      </c>
      <c r="E110" s="238">
        <v>14.244184858644868</v>
      </c>
      <c r="F110" s="238">
        <v>13.261827282186601</v>
      </c>
      <c r="G110" s="238">
        <v>17.682436376248802</v>
      </c>
      <c r="H110" s="238">
        <v>26.032475776144068</v>
      </c>
      <c r="I110" s="238">
        <v>26.032475776144068</v>
      </c>
      <c r="J110" s="238">
        <v>26.523654564373203</v>
      </c>
      <c r="K110" s="238">
        <v>23.5765818349984</v>
      </c>
      <c r="L110" s="238">
        <v>20.138330317394466</v>
      </c>
      <c r="M110" s="238">
        <v>10.805933341040934</v>
      </c>
      <c r="N110" s="238">
        <v>18.173615164477933</v>
      </c>
      <c r="O110" s="239">
        <v>242.64232138519188</v>
      </c>
    </row>
    <row r="111" spans="1:15" x14ac:dyDescent="0.25">
      <c r="A111" s="240"/>
      <c r="B111" s="241" t="s">
        <v>25</v>
      </c>
      <c r="C111" s="244">
        <v>-74.14657988424068</v>
      </c>
      <c r="D111" s="82">
        <v>-46.022015100563173</v>
      </c>
      <c r="E111" s="82">
        <v>-37.07328994212034</v>
      </c>
      <c r="F111" s="82">
        <v>-34.516511325422378</v>
      </c>
      <c r="G111" s="82">
        <v>-46.022015100563173</v>
      </c>
      <c r="H111" s="82">
        <v>-67.754633342495779</v>
      </c>
      <c r="I111" s="82">
        <v>-67.754633342495779</v>
      </c>
      <c r="J111" s="82">
        <v>-69.033022650844757</v>
      </c>
      <c r="K111" s="82">
        <v>-61.3626868007509</v>
      </c>
      <c r="L111" s="82">
        <v>-52.413961642308067</v>
      </c>
      <c r="M111" s="82">
        <v>-28.124564783677492</v>
      </c>
      <c r="N111" s="82">
        <v>-47.300404408912144</v>
      </c>
      <c r="O111" s="245">
        <v>-631.5243183243947</v>
      </c>
    </row>
    <row r="112" spans="1:15" x14ac:dyDescent="0.25">
      <c r="A112" s="240"/>
      <c r="B112" s="241" t="s">
        <v>26</v>
      </c>
      <c r="C112" s="244">
        <v>-5.942646858927497</v>
      </c>
      <c r="D112" s="82">
        <v>-3.6885394296791367</v>
      </c>
      <c r="E112" s="82">
        <v>-2.9713234294637485</v>
      </c>
      <c r="F112" s="82">
        <v>-2.7664045722593524</v>
      </c>
      <c r="G112" s="82">
        <v>-3.6885394296791367</v>
      </c>
      <c r="H112" s="82">
        <v>-5.4303497159165071</v>
      </c>
      <c r="I112" s="82">
        <v>-5.4303497159165071</v>
      </c>
      <c r="J112" s="82">
        <v>-5.5328091445187049</v>
      </c>
      <c r="K112" s="82">
        <v>-4.9180525729055153</v>
      </c>
      <c r="L112" s="82">
        <v>-4.200836572690128</v>
      </c>
      <c r="M112" s="82">
        <v>-2.2541074292483612</v>
      </c>
      <c r="N112" s="82">
        <v>-3.7909988582813345</v>
      </c>
      <c r="O112" s="245">
        <v>-50.61495772948593</v>
      </c>
    </row>
    <row r="113" spans="1:15" x14ac:dyDescent="0.25">
      <c r="A113" s="240"/>
      <c r="B113" s="241" t="s">
        <v>27</v>
      </c>
      <c r="C113" s="244">
        <v>-80.089226743168183</v>
      </c>
      <c r="D113" s="82">
        <v>-49.710554530242312</v>
      </c>
      <c r="E113" s="82">
        <v>-40.044613371584092</v>
      </c>
      <c r="F113" s="82">
        <v>-37.282915897681733</v>
      </c>
      <c r="G113" s="82">
        <v>-49.710554530242312</v>
      </c>
      <c r="H113" s="82">
        <v>-73.184983058412286</v>
      </c>
      <c r="I113" s="82">
        <v>-73.184983058412286</v>
      </c>
      <c r="J113" s="82">
        <v>-74.565831795363465</v>
      </c>
      <c r="K113" s="82">
        <v>-66.280739373656417</v>
      </c>
      <c r="L113" s="82">
        <v>-56.614798214998196</v>
      </c>
      <c r="M113" s="82">
        <v>-30.378672212925853</v>
      </c>
      <c r="N113" s="82">
        <v>-51.091403267193478</v>
      </c>
      <c r="O113" s="245">
        <v>-682.13927605388074</v>
      </c>
    </row>
    <row r="114" spans="1:15" x14ac:dyDescent="0.25">
      <c r="A114" s="240"/>
      <c r="B114" s="241" t="s">
        <v>51</v>
      </c>
      <c r="C114" s="244">
        <v>102.63494960153041</v>
      </c>
      <c r="D114" s="82">
        <v>63.704451476811975</v>
      </c>
      <c r="E114" s="82">
        <v>51.317474800765204</v>
      </c>
      <c r="F114" s="82">
        <v>47.77833860760898</v>
      </c>
      <c r="G114" s="82">
        <v>63.704451476811975</v>
      </c>
      <c r="H114" s="82">
        <v>93.787109118639847</v>
      </c>
      <c r="I114" s="82">
        <v>93.787109118639847</v>
      </c>
      <c r="J114" s="82">
        <v>95.55667721521796</v>
      </c>
      <c r="K114" s="82">
        <v>84.939268635749301</v>
      </c>
      <c r="L114" s="82">
        <v>72.552291959702529</v>
      </c>
      <c r="M114" s="82">
        <v>38.930498124718426</v>
      </c>
      <c r="N114" s="82">
        <v>65.47401957339008</v>
      </c>
      <c r="O114" s="245">
        <v>874.16663970958643</v>
      </c>
    </row>
    <row r="115" spans="1:15" x14ac:dyDescent="0.25">
      <c r="A115" s="240"/>
      <c r="B115" s="241" t="s">
        <v>89</v>
      </c>
      <c r="C115" s="244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245">
        <v>0</v>
      </c>
    </row>
    <row r="116" spans="1:15" x14ac:dyDescent="0.25">
      <c r="A116" s="240"/>
      <c r="B116" s="241" t="s">
        <v>91</v>
      </c>
      <c r="C116" s="244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245">
        <v>0</v>
      </c>
    </row>
    <row r="117" spans="1:15" x14ac:dyDescent="0.25">
      <c r="A117" s="230" t="s">
        <v>73</v>
      </c>
      <c r="B117" s="231"/>
      <c r="C117" s="237">
        <v>4900.4907701620623</v>
      </c>
      <c r="D117" s="238">
        <v>3577.2551146727787</v>
      </c>
      <c r="E117" s="238">
        <v>3175.9620446895765</v>
      </c>
      <c r="F117" s="238">
        <v>3420.5690812276844</v>
      </c>
      <c r="G117" s="238">
        <v>4129.8312514305535</v>
      </c>
      <c r="H117" s="238">
        <v>5081.735743018613</v>
      </c>
      <c r="I117" s="238">
        <v>5136.2565885120466</v>
      </c>
      <c r="J117" s="238">
        <v>5203.05690371121</v>
      </c>
      <c r="K117" s="238">
        <v>4683.8809245530156</v>
      </c>
      <c r="L117" s="238">
        <v>4133.2695029481565</v>
      </c>
      <c r="M117" s="238">
        <v>2991.2788203154223</v>
      </c>
      <c r="N117" s="238">
        <v>3593.4640146843394</v>
      </c>
      <c r="O117" s="239">
        <v>50027.050759925456</v>
      </c>
    </row>
    <row r="118" spans="1:15" ht="13" x14ac:dyDescent="0.3">
      <c r="A118" s="230" t="s">
        <v>28</v>
      </c>
      <c r="B118" s="231"/>
      <c r="C118" s="246">
        <v>-12754.490129397745</v>
      </c>
      <c r="D118" s="247">
        <v>-9310.5093327055984</v>
      </c>
      <c r="E118" s="247">
        <v>-8266.0652677844864</v>
      </c>
      <c r="F118" s="247">
        <v>-8902.7031433422762</v>
      </c>
      <c r="G118" s="247">
        <v>-10748.697304598198</v>
      </c>
      <c r="H118" s="247">
        <v>-13226.215784178516</v>
      </c>
      <c r="I118" s="247">
        <v>-13368.116997405252</v>
      </c>
      <c r="J118" s="247">
        <v>-13541.977943340713</v>
      </c>
      <c r="K118" s="247">
        <v>-12190.720444415847</v>
      </c>
      <c r="L118" s="247">
        <v>-10757.646029756641</v>
      </c>
      <c r="M118" s="247">
        <v>-7785.3908878452703</v>
      </c>
      <c r="N118" s="247">
        <v>-9352.6961798811171</v>
      </c>
      <c r="O118" s="248">
        <v>-130205.22944465166</v>
      </c>
    </row>
    <row r="119" spans="1:15" ht="13" x14ac:dyDescent="0.3">
      <c r="A119" s="230" t="s">
        <v>29</v>
      </c>
      <c r="B119" s="231"/>
      <c r="C119" s="246">
        <v>-1022.2377191641317</v>
      </c>
      <c r="D119" s="247">
        <v>-746.2120185098097</v>
      </c>
      <c r="E119" s="247">
        <v>-662.50266534181378</v>
      </c>
      <c r="F119" s="247">
        <v>-713.52746078570863</v>
      </c>
      <c r="G119" s="247">
        <v>-861.47887568728277</v>
      </c>
      <c r="H119" s="247">
        <v>-1060.0452483183428</v>
      </c>
      <c r="I119" s="247">
        <v>-1071.418244893187</v>
      </c>
      <c r="J119" s="247">
        <v>-1085.3527271830858</v>
      </c>
      <c r="K119" s="247">
        <v>-977.05311115056213</v>
      </c>
      <c r="L119" s="247">
        <v>-862.19609168749821</v>
      </c>
      <c r="M119" s="247">
        <v>-623.97792018738733</v>
      </c>
      <c r="N119" s="247">
        <v>-749.59317965368234</v>
      </c>
      <c r="O119" s="248">
        <v>-10435.59526256249</v>
      </c>
    </row>
    <row r="120" spans="1:15" ht="13" x14ac:dyDescent="0.3">
      <c r="A120" s="230" t="s">
        <v>30</v>
      </c>
      <c r="B120" s="231"/>
      <c r="C120" s="246">
        <v>-13776.727848561877</v>
      </c>
      <c r="D120" s="247">
        <v>-10056.721351215407</v>
      </c>
      <c r="E120" s="247">
        <v>-8928.5679331263018</v>
      </c>
      <c r="F120" s="247">
        <v>-9616.230604127988</v>
      </c>
      <c r="G120" s="247">
        <v>-11610.17618028548</v>
      </c>
      <c r="H120" s="247">
        <v>-14286.261032496857</v>
      </c>
      <c r="I120" s="247">
        <v>-14439.535242298443</v>
      </c>
      <c r="J120" s="247">
        <v>-14627.330670523799</v>
      </c>
      <c r="K120" s="247">
        <v>-13167.773555566411</v>
      </c>
      <c r="L120" s="247">
        <v>-11619.842121444141</v>
      </c>
      <c r="M120" s="247">
        <v>-8409.3688080326574</v>
      </c>
      <c r="N120" s="247">
        <v>-10102.2893595348</v>
      </c>
      <c r="O120" s="248">
        <v>-140640.82470721417</v>
      </c>
    </row>
    <row r="121" spans="1:15" x14ac:dyDescent="0.25">
      <c r="A121" s="230" t="s">
        <v>63</v>
      </c>
      <c r="B121" s="231"/>
      <c r="C121" s="237">
        <v>17654.980899559807</v>
      </c>
      <c r="D121" s="238">
        <v>12887.764447378377</v>
      </c>
      <c r="E121" s="238">
        <v>11442.027312474062</v>
      </c>
      <c r="F121" s="238">
        <v>12323.272224569962</v>
      </c>
      <c r="G121" s="238">
        <v>14878.528556028752</v>
      </c>
      <c r="H121" s="238">
        <v>18307.951527197136</v>
      </c>
      <c r="I121" s="238">
        <v>18504.373585917299</v>
      </c>
      <c r="J121" s="238">
        <v>18745.034847051924</v>
      </c>
      <c r="K121" s="238">
        <v>16874.601368968866</v>
      </c>
      <c r="L121" s="238">
        <v>14890.915532704797</v>
      </c>
      <c r="M121" s="238">
        <v>10776.669708160693</v>
      </c>
      <c r="N121" s="238">
        <v>12946.160194565455</v>
      </c>
      <c r="O121" s="239">
        <v>180232.28020457711</v>
      </c>
    </row>
    <row r="122" spans="1:15" x14ac:dyDescent="0.25">
      <c r="A122" s="230" t="s">
        <v>90</v>
      </c>
      <c r="B122" s="231"/>
      <c r="C122" s="237">
        <v>0</v>
      </c>
      <c r="D122" s="238">
        <v>0</v>
      </c>
      <c r="E122" s="238">
        <v>0</v>
      </c>
      <c r="F122" s="238">
        <v>0</v>
      </c>
      <c r="G122" s="238">
        <v>0</v>
      </c>
      <c r="H122" s="238">
        <v>0</v>
      </c>
      <c r="I122" s="238">
        <v>0</v>
      </c>
      <c r="J122" s="238">
        <v>0</v>
      </c>
      <c r="K122" s="238">
        <v>0</v>
      </c>
      <c r="L122" s="238">
        <v>0</v>
      </c>
      <c r="M122" s="238">
        <v>0</v>
      </c>
      <c r="N122" s="238">
        <v>0</v>
      </c>
      <c r="O122" s="239">
        <v>0</v>
      </c>
    </row>
    <row r="123" spans="1:15" x14ac:dyDescent="0.25">
      <c r="A123" s="249" t="s">
        <v>92</v>
      </c>
      <c r="B123" s="250"/>
      <c r="C123" s="251">
        <v>0</v>
      </c>
      <c r="D123" s="252">
        <v>0</v>
      </c>
      <c r="E123" s="252">
        <v>0</v>
      </c>
      <c r="F123" s="252">
        <v>0</v>
      </c>
      <c r="G123" s="252">
        <v>0</v>
      </c>
      <c r="H123" s="252">
        <v>0</v>
      </c>
      <c r="I123" s="252">
        <v>0</v>
      </c>
      <c r="J123" s="252">
        <v>0</v>
      </c>
      <c r="K123" s="252">
        <v>0</v>
      </c>
      <c r="L123" s="252">
        <v>0</v>
      </c>
      <c r="M123" s="252">
        <v>0</v>
      </c>
      <c r="N123" s="252">
        <v>0</v>
      </c>
      <c r="O123" s="253">
        <v>0</v>
      </c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220"/>
  <sheetViews>
    <sheetView showGridLines="0" view="pageBreakPreview" topLeftCell="E3" zoomScaleNormal="80" zoomScaleSheetLayoutView="100" workbookViewId="0">
      <selection activeCell="F9" sqref="F9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9" customWidth="1"/>
    <col min="5" max="5" width="24.26953125" style="1" customWidth="1"/>
    <col min="6" max="6" width="7.7265625" style="129" customWidth="1"/>
    <col min="7" max="7" width="10.1796875" style="129" customWidth="1"/>
    <col min="8" max="8" width="11.1796875" style="129" bestFit="1" customWidth="1"/>
    <col min="9" max="9" width="11.26953125" style="130" customWidth="1"/>
    <col min="10" max="10" width="13.7265625" style="129" customWidth="1"/>
    <col min="11" max="11" width="13.54296875" style="131" customWidth="1"/>
    <col min="12" max="12" width="14.7265625" style="129" customWidth="1"/>
    <col min="13" max="13" width="13.453125" style="93" bestFit="1" customWidth="1"/>
    <col min="14" max="17" width="13.453125" style="93" customWidth="1"/>
    <col min="18" max="18" width="15.54296875" style="196" customWidth="1"/>
    <col min="19" max="16384" width="8.7265625" style="1"/>
  </cols>
  <sheetData>
    <row r="1" spans="2:19" ht="21.5" x14ac:dyDescent="0.3">
      <c r="B1" s="10" t="s">
        <v>98</v>
      </c>
      <c r="C1" s="83"/>
      <c r="D1" s="84"/>
      <c r="E1" s="83"/>
      <c r="F1" s="85" t="s">
        <v>12</v>
      </c>
      <c r="G1" s="86"/>
      <c r="H1" s="87"/>
      <c r="I1" s="88"/>
      <c r="J1" s="200" t="str">
        <f>"True-Up ARR
(CY"&amp;R1&amp;")"</f>
        <v>True-Up ARR
(CY2024)</v>
      </c>
      <c r="K1" s="200" t="str">
        <f>"Projected ARR
(Jan'"&amp;RIGHT(R$1,2)&amp;" - Dec'"&amp;RIGHT(R$1,2)&amp;")"</f>
        <v>Projected ARR
(Jan'24 - Dec'24)</v>
      </c>
      <c r="L1" s="89" t="s">
        <v>47</v>
      </c>
      <c r="M1" s="90"/>
      <c r="N1" s="50"/>
      <c r="O1" s="50"/>
      <c r="P1" s="50"/>
      <c r="Q1" s="50"/>
      <c r="R1" s="91">
        <v>2024</v>
      </c>
      <c r="S1" s="2"/>
    </row>
    <row r="2" spans="2:19" ht="13" x14ac:dyDescent="0.3">
      <c r="B2" s="10" t="s">
        <v>54</v>
      </c>
      <c r="C2" s="83"/>
      <c r="D2" s="84"/>
      <c r="E2" s="83"/>
      <c r="F2" s="92">
        <v>9</v>
      </c>
      <c r="G2" s="255"/>
      <c r="H2" s="255"/>
      <c r="I2" s="94" t="s">
        <v>6</v>
      </c>
      <c r="J2" s="95">
        <v>50027.050759925463</v>
      </c>
      <c r="K2" s="95">
        <v>179634.4151780674</v>
      </c>
      <c r="L2" s="207"/>
      <c r="M2" s="97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CY2024 SPP Network Transmission Service</v>
      </c>
      <c r="C3" s="83"/>
      <c r="D3" s="84"/>
      <c r="E3" s="83"/>
      <c r="F3" s="92"/>
      <c r="G3" s="255"/>
      <c r="H3" s="255"/>
      <c r="I3" s="94" t="s">
        <v>10</v>
      </c>
      <c r="J3" s="98">
        <v>0.49117878822913336</v>
      </c>
      <c r="K3" s="98">
        <v>1.7695680965781104</v>
      </c>
      <c r="L3" s="118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9" ht="13" x14ac:dyDescent="0.3">
      <c r="B4" s="9"/>
      <c r="C4" s="83"/>
      <c r="D4" s="84"/>
      <c r="E4" s="83"/>
      <c r="F4" s="92"/>
      <c r="G4" s="93"/>
      <c r="H4" s="93"/>
      <c r="I4" s="49"/>
      <c r="J4" s="93"/>
      <c r="K4" s="99"/>
      <c r="L4" s="93"/>
      <c r="M4" s="100"/>
      <c r="P4" s="50"/>
      <c r="Q4" s="50"/>
      <c r="R4" s="1"/>
    </row>
    <row r="5" spans="2:19" ht="13" x14ac:dyDescent="0.3">
      <c r="B5" s="9"/>
      <c r="C5" s="83"/>
      <c r="D5" s="84"/>
      <c r="E5" s="83"/>
      <c r="F5" s="92"/>
      <c r="G5" s="93"/>
      <c r="H5" s="93"/>
      <c r="I5" s="94"/>
      <c r="J5" s="93"/>
      <c r="K5" s="95">
        <v>0</v>
      </c>
      <c r="L5" s="96"/>
      <c r="M5" s="101"/>
      <c r="N5" s="102"/>
      <c r="O5" s="102"/>
      <c r="P5" s="50"/>
      <c r="Q5" s="50"/>
      <c r="R5" s="103"/>
    </row>
    <row r="6" spans="2:19" ht="13" x14ac:dyDescent="0.3">
      <c r="B6" s="10" t="s">
        <v>23</v>
      </c>
      <c r="D6" s="84"/>
      <c r="E6" s="83"/>
      <c r="F6" s="104"/>
      <c r="G6" s="105"/>
      <c r="H6" s="106"/>
      <c r="I6" s="107"/>
      <c r="J6" s="108"/>
      <c r="K6" s="98">
        <v>0</v>
      </c>
      <c r="L6" s="198"/>
      <c r="M6" s="101"/>
      <c r="N6" s="102"/>
      <c r="O6" s="102"/>
      <c r="P6" s="102"/>
      <c r="Q6" s="102"/>
      <c r="R6" s="1"/>
    </row>
    <row r="7" spans="2:19" ht="13" x14ac:dyDescent="0.3">
      <c r="B7" s="9" t="s">
        <v>79</v>
      </c>
      <c r="D7" s="84"/>
      <c r="E7" s="83"/>
      <c r="F7" s="92"/>
      <c r="G7" s="256"/>
      <c r="H7" s="255"/>
      <c r="I7" s="94"/>
      <c r="J7" s="109"/>
      <c r="K7" s="96"/>
      <c r="L7" s="96"/>
      <c r="M7" s="110"/>
      <c r="N7" s="111"/>
      <c r="O7" s="111"/>
      <c r="P7" s="111"/>
      <c r="Q7" s="111"/>
      <c r="R7" s="1"/>
    </row>
    <row r="8" spans="2:19" ht="13" x14ac:dyDescent="0.3">
      <c r="B8" s="10"/>
      <c r="C8" s="83"/>
      <c r="D8" s="84"/>
      <c r="E8" s="83"/>
      <c r="F8" s="92"/>
      <c r="G8" s="255"/>
      <c r="H8" s="255"/>
      <c r="I8" s="94"/>
      <c r="J8" s="112"/>
      <c r="K8" s="96"/>
      <c r="L8" s="113"/>
      <c r="M8" s="97"/>
      <c r="N8" s="50"/>
      <c r="O8" s="50"/>
      <c r="P8" s="50"/>
      <c r="Q8" s="50"/>
      <c r="R8" s="103"/>
    </row>
    <row r="9" spans="2:19" ht="13" x14ac:dyDescent="0.3">
      <c r="B9" s="114"/>
      <c r="C9" s="83"/>
      <c r="D9" s="84"/>
      <c r="E9" s="83"/>
      <c r="F9" s="92"/>
      <c r="G9" s="93"/>
      <c r="H9" s="93"/>
      <c r="I9" s="115"/>
      <c r="J9" s="116"/>
      <c r="K9" s="117"/>
      <c r="L9" s="118"/>
      <c r="M9" s="97"/>
      <c r="N9" s="50"/>
      <c r="O9" s="50"/>
      <c r="P9" s="50"/>
      <c r="Q9" s="50"/>
      <c r="R9" s="103"/>
    </row>
    <row r="10" spans="2:19" ht="13.5" thickBot="1" x14ac:dyDescent="0.35">
      <c r="B10" s="9"/>
      <c r="D10" s="1"/>
      <c r="E10" s="119"/>
      <c r="F10" s="120"/>
      <c r="G10" s="121"/>
      <c r="H10" s="122"/>
      <c r="I10" s="123"/>
      <c r="J10" s="124"/>
      <c r="K10" s="124"/>
      <c r="L10" s="125"/>
      <c r="M10" s="126"/>
      <c r="R10" s="127"/>
    </row>
    <row r="11" spans="2:19" ht="13" x14ac:dyDescent="0.3">
      <c r="B11" s="128" t="s">
        <v>97</v>
      </c>
      <c r="E11" s="119"/>
      <c r="L11" s="132"/>
      <c r="M11" s="1"/>
      <c r="N11" s="1"/>
      <c r="O11" s="1"/>
      <c r="P11" s="1"/>
      <c r="Q11" s="1"/>
      <c r="R11" s="103"/>
    </row>
    <row r="12" spans="2:19" x14ac:dyDescent="0.25">
      <c r="E12" s="119"/>
      <c r="J12" s="197"/>
      <c r="L12" s="132"/>
      <c r="R12" s="133" t="s">
        <v>62</v>
      </c>
    </row>
    <row r="13" spans="2:19" ht="13" x14ac:dyDescent="0.3">
      <c r="E13" s="119"/>
      <c r="F13" s="134"/>
      <c r="G13" s="135"/>
      <c r="H13" s="135"/>
      <c r="I13" s="136" t="s">
        <v>60</v>
      </c>
      <c r="J13" s="137">
        <f t="shared" ref="J13:R13" si="0">SUM(J56:J211)</f>
        <v>13210.253509422535</v>
      </c>
      <c r="K13" s="137">
        <f t="shared" si="0"/>
        <v>47592.533957468258</v>
      </c>
      <c r="L13" s="138">
        <f t="shared" si="0"/>
        <v>-34382.28044804572</v>
      </c>
      <c r="M13" s="139">
        <f t="shared" si="0"/>
        <v>-2755.6463322561226</v>
      </c>
      <c r="N13" s="137">
        <f t="shared" si="0"/>
        <v>-37137.926780301837</v>
      </c>
      <c r="O13" s="137">
        <f t="shared" si="0"/>
        <v>0</v>
      </c>
      <c r="P13" s="137">
        <f t="shared" si="0"/>
        <v>0</v>
      </c>
      <c r="Q13" s="137">
        <f t="shared" si="0"/>
        <v>0</v>
      </c>
      <c r="R13" s="138">
        <f t="shared" si="0"/>
        <v>-37137.926780301837</v>
      </c>
    </row>
    <row r="14" spans="2:19" ht="13" x14ac:dyDescent="0.3">
      <c r="E14" s="119"/>
      <c r="F14" s="140"/>
      <c r="G14" s="140"/>
      <c r="H14" s="140"/>
      <c r="I14" s="141" t="s">
        <v>61</v>
      </c>
      <c r="J14" s="137">
        <f>SUM(J20:J211)</f>
        <v>50027.050759925456</v>
      </c>
      <c r="K14" s="137">
        <f>SUM(K20:K211)</f>
        <v>180232.28020457705</v>
      </c>
      <c r="L14" s="138">
        <f>SUM(L20:L211)</f>
        <v>-130205.22944465172</v>
      </c>
      <c r="M14" s="199">
        <v>-10435.595262562492</v>
      </c>
      <c r="N14" s="137">
        <f>SUM(N20:N211)</f>
        <v>-140640.82470721408</v>
      </c>
      <c r="O14" s="137">
        <f>SUM(O20:O211)</f>
        <v>0</v>
      </c>
      <c r="P14" s="137">
        <f>SUM(P20:P211)</f>
        <v>0</v>
      </c>
      <c r="Q14" s="137">
        <f>SUM(Q20:Q211)</f>
        <v>0</v>
      </c>
      <c r="R14" s="138">
        <f>SUM(R20:R211)</f>
        <v>-140640.82470721408</v>
      </c>
    </row>
    <row r="15" spans="2:19" x14ac:dyDescent="0.25">
      <c r="B15" s="142" t="s">
        <v>84</v>
      </c>
      <c r="E15" s="119"/>
      <c r="J15" s="130"/>
      <c r="L15" s="132"/>
      <c r="M15" s="208"/>
      <c r="N15" s="143"/>
      <c r="O15" s="143"/>
      <c r="P15" s="143"/>
      <c r="Q15" s="143"/>
      <c r="R15" s="144" t="s">
        <v>20</v>
      </c>
    </row>
    <row r="16" spans="2:19" x14ac:dyDescent="0.25">
      <c r="B16" s="145" t="str">
        <f>"** Actual Trued-Up CY"&amp;R1&amp;" Charge reflects "&amp;R1&amp;" True-UP Rate x MW"</f>
        <v>** Actual Trued-Up CY2024 Charge reflects 2024 True-UP Rate x MW</v>
      </c>
      <c r="E16" s="119"/>
      <c r="F16" s="93"/>
      <c r="G16" s="5"/>
      <c r="J16" s="146"/>
      <c r="L16" s="147" t="s">
        <v>11</v>
      </c>
      <c r="M16" s="143"/>
      <c r="N16" s="143"/>
      <c r="O16" s="143"/>
      <c r="P16" s="143"/>
      <c r="Q16" s="143"/>
      <c r="R16" s="148"/>
    </row>
    <row r="17" spans="1:18" x14ac:dyDescent="0.25">
      <c r="B17" s="149" t="s">
        <v>64</v>
      </c>
      <c r="E17" s="119"/>
      <c r="I17" s="150"/>
      <c r="J17" s="151"/>
      <c r="K17" s="152"/>
      <c r="L17" s="152"/>
      <c r="M17" s="152"/>
      <c r="N17" s="152"/>
      <c r="O17" s="152"/>
      <c r="P17" s="152"/>
      <c r="Q17" s="152"/>
      <c r="R17" s="153"/>
    </row>
    <row r="18" spans="1:18" ht="3.65" customHeight="1" x14ac:dyDescent="0.25">
      <c r="I18" s="154"/>
      <c r="J18" s="151"/>
      <c r="K18" s="154"/>
      <c r="L18" s="154"/>
      <c r="M18" s="155"/>
      <c r="N18" s="155"/>
      <c r="O18" s="155"/>
      <c r="P18" s="155"/>
      <c r="Q18" s="155"/>
      <c r="R18" s="156"/>
    </row>
    <row r="19" spans="1:18" ht="38.25" customHeight="1" x14ac:dyDescent="0.25">
      <c r="B19" s="157" t="s">
        <v>55</v>
      </c>
      <c r="C19" s="209" t="s">
        <v>4</v>
      </c>
      <c r="D19" s="209" t="s">
        <v>5</v>
      </c>
      <c r="E19" s="201" t="s">
        <v>0</v>
      </c>
      <c r="F19" s="202" t="s">
        <v>12</v>
      </c>
      <c r="G19" s="203" t="s">
        <v>1</v>
      </c>
      <c r="H19" s="158" t="s">
        <v>50</v>
      </c>
      <c r="I19" s="158" t="s">
        <v>48</v>
      </c>
      <c r="J19" s="159" t="str">
        <f>"True-Up Charge"</f>
        <v>True-Up Charge</v>
      </c>
      <c r="K19" s="159" t="s">
        <v>49</v>
      </c>
      <c r="L19" s="160" t="s">
        <v>3</v>
      </c>
      <c r="M19" s="161" t="s">
        <v>7</v>
      </c>
      <c r="N19" s="162" t="s">
        <v>103</v>
      </c>
      <c r="O19" s="162" t="s">
        <v>86</v>
      </c>
      <c r="P19" s="162" t="s">
        <v>87</v>
      </c>
      <c r="Q19" s="162" t="s">
        <v>88</v>
      </c>
      <c r="R19" s="163" t="s">
        <v>2</v>
      </c>
    </row>
    <row r="20" spans="1:18" s="50" customFormat="1" ht="12.75" customHeight="1" x14ac:dyDescent="0.25">
      <c r="A20" s="93">
        <v>1</v>
      </c>
      <c r="B20" s="164">
        <f>DATE($R$1,A20,1)</f>
        <v>45292</v>
      </c>
      <c r="C20" s="204">
        <v>45327</v>
      </c>
      <c r="D20" s="204">
        <v>45348</v>
      </c>
      <c r="E20" s="165" t="s">
        <v>21</v>
      </c>
      <c r="F20" s="93">
        <v>9</v>
      </c>
      <c r="G20" s="166">
        <v>3252</v>
      </c>
      <c r="H20" s="167">
        <f>+$K$3</f>
        <v>1.7695680965781104</v>
      </c>
      <c r="I20" s="167">
        <f t="shared" ref="I20:I63" si="1">$J$3</f>
        <v>0.49117878822913336</v>
      </c>
      <c r="J20" s="168">
        <f t="shared" ref="J20:J108" si="2">+$G20*I20</f>
        <v>1597.3134193211417</v>
      </c>
      <c r="K20" s="169">
        <f>+$G20*H20</f>
        <v>5754.6354500720154</v>
      </c>
      <c r="L20" s="170">
        <f t="shared" ref="L20:L34" si="3">+J20-K20</f>
        <v>-4157.3220307508736</v>
      </c>
      <c r="M20" s="171">
        <f>G20/$G$212*$M$14</f>
        <v>-333.19806181434865</v>
      </c>
      <c r="N20" s="172">
        <f>SUM(L20:M20)</f>
        <v>-4490.5200925652225</v>
      </c>
      <c r="O20" s="171">
        <v>0</v>
      </c>
      <c r="P20" s="171">
        <v>0</v>
      </c>
      <c r="Q20" s="171">
        <v>0</v>
      </c>
      <c r="R20" s="172">
        <f>+N20-Q20</f>
        <v>-4490.5200925652225</v>
      </c>
    </row>
    <row r="21" spans="1:18" x14ac:dyDescent="0.25">
      <c r="A21" s="129">
        <v>2</v>
      </c>
      <c r="B21" s="164">
        <f t="shared" ref="B21:B108" si="4">DATE($R$1,A21,1)</f>
        <v>45323</v>
      </c>
      <c r="C21" s="204">
        <v>45356</v>
      </c>
      <c r="D21" s="204">
        <v>45376</v>
      </c>
      <c r="E21" s="173" t="s">
        <v>21</v>
      </c>
      <c r="F21" s="129">
        <v>9</v>
      </c>
      <c r="G21" s="166">
        <v>2338</v>
      </c>
      <c r="H21" s="167">
        <f t="shared" ref="H21:H84" si="5">+$K$3</f>
        <v>1.7695680965781104</v>
      </c>
      <c r="I21" s="167">
        <f t="shared" si="1"/>
        <v>0.49117878822913336</v>
      </c>
      <c r="J21" s="168">
        <f t="shared" si="2"/>
        <v>1148.3760068797137</v>
      </c>
      <c r="K21" s="169">
        <f t="shared" ref="K21:K33" si="6">+$G21*H21</f>
        <v>4137.2502097996221</v>
      </c>
      <c r="L21" s="170">
        <f t="shared" si="3"/>
        <v>-2988.8742029199084</v>
      </c>
      <c r="M21" s="171">
        <f t="shared" ref="M21:M84" si="7">G21/$G$212*$M$14</f>
        <v>-239.55014407193949</v>
      </c>
      <c r="N21" s="172">
        <f t="shared" ref="N21:N84" si="8">SUM(L21:M21)</f>
        <v>-3228.4243469918479</v>
      </c>
      <c r="O21" s="171">
        <v>0</v>
      </c>
      <c r="P21" s="171">
        <v>0</v>
      </c>
      <c r="Q21" s="171">
        <v>0</v>
      </c>
      <c r="R21" s="172">
        <f t="shared" ref="R21:R84" si="9">+N21-Q21</f>
        <v>-3228.4243469918479</v>
      </c>
    </row>
    <row r="22" spans="1:18" x14ac:dyDescent="0.25">
      <c r="A22" s="129">
        <v>3</v>
      </c>
      <c r="B22" s="164">
        <f t="shared" si="4"/>
        <v>45352</v>
      </c>
      <c r="C22" s="204">
        <v>45385</v>
      </c>
      <c r="D22" s="204">
        <v>45406</v>
      </c>
      <c r="E22" s="173" t="s">
        <v>21</v>
      </c>
      <c r="F22" s="129">
        <v>9</v>
      </c>
      <c r="G22" s="166">
        <v>2216</v>
      </c>
      <c r="H22" s="167">
        <f t="shared" si="5"/>
        <v>1.7695680965781104</v>
      </c>
      <c r="I22" s="167">
        <f t="shared" si="1"/>
        <v>0.49117878822913336</v>
      </c>
      <c r="J22" s="168">
        <f t="shared" si="2"/>
        <v>1088.4521947157596</v>
      </c>
      <c r="K22" s="169">
        <f t="shared" si="6"/>
        <v>3921.3629020170929</v>
      </c>
      <c r="L22" s="170">
        <f t="shared" si="3"/>
        <v>-2832.9107073013333</v>
      </c>
      <c r="M22" s="171">
        <f t="shared" si="7"/>
        <v>-227.05009378247127</v>
      </c>
      <c r="N22" s="172">
        <f t="shared" si="8"/>
        <v>-3059.9608010838047</v>
      </c>
      <c r="O22" s="171">
        <v>0</v>
      </c>
      <c r="P22" s="171">
        <v>0</v>
      </c>
      <c r="Q22" s="171">
        <v>0</v>
      </c>
      <c r="R22" s="172">
        <f t="shared" si="9"/>
        <v>-3059.9608010838047</v>
      </c>
    </row>
    <row r="23" spans="1:18" x14ac:dyDescent="0.25">
      <c r="A23" s="93">
        <v>4</v>
      </c>
      <c r="B23" s="164">
        <f t="shared" si="4"/>
        <v>45383</v>
      </c>
      <c r="C23" s="204">
        <v>45415</v>
      </c>
      <c r="D23" s="204">
        <v>45436</v>
      </c>
      <c r="E23" s="173" t="s">
        <v>21</v>
      </c>
      <c r="F23" s="129">
        <v>9</v>
      </c>
      <c r="G23" s="166">
        <v>2777</v>
      </c>
      <c r="H23" s="167">
        <f t="shared" si="5"/>
        <v>1.7695680965781104</v>
      </c>
      <c r="I23" s="167">
        <f t="shared" si="1"/>
        <v>0.49117878822913336</v>
      </c>
      <c r="J23" s="168">
        <f t="shared" si="2"/>
        <v>1364.0034949123033</v>
      </c>
      <c r="K23" s="169">
        <f t="shared" si="6"/>
        <v>4914.0906041974131</v>
      </c>
      <c r="L23" s="170">
        <f t="shared" si="3"/>
        <v>-3550.0871092851098</v>
      </c>
      <c r="M23" s="171">
        <f t="shared" si="7"/>
        <v>-284.52983322830448</v>
      </c>
      <c r="N23" s="172">
        <f t="shared" si="8"/>
        <v>-3834.6169425134144</v>
      </c>
      <c r="O23" s="171">
        <v>0</v>
      </c>
      <c r="P23" s="171">
        <v>0</v>
      </c>
      <c r="Q23" s="171">
        <v>0</v>
      </c>
      <c r="R23" s="172">
        <f t="shared" si="9"/>
        <v>-3834.6169425134144</v>
      </c>
    </row>
    <row r="24" spans="1:18" ht="12" customHeight="1" x14ac:dyDescent="0.25">
      <c r="A24" s="129">
        <v>5</v>
      </c>
      <c r="B24" s="164">
        <f t="shared" si="4"/>
        <v>45413</v>
      </c>
      <c r="C24" s="204">
        <v>45448</v>
      </c>
      <c r="D24" s="204">
        <v>45467</v>
      </c>
      <c r="E24" s="52" t="s">
        <v>21</v>
      </c>
      <c r="F24" s="129">
        <v>9</v>
      </c>
      <c r="G24" s="166">
        <v>3245</v>
      </c>
      <c r="H24" s="167">
        <f t="shared" si="5"/>
        <v>1.7695680965781104</v>
      </c>
      <c r="I24" s="167">
        <f t="shared" si="1"/>
        <v>0.49117878822913336</v>
      </c>
      <c r="J24" s="168">
        <f t="shared" si="2"/>
        <v>1593.8751678035378</v>
      </c>
      <c r="K24" s="169">
        <f t="shared" si="6"/>
        <v>5742.2484733959682</v>
      </c>
      <c r="L24" s="170">
        <f t="shared" si="3"/>
        <v>-4148.3733055924304</v>
      </c>
      <c r="M24" s="171">
        <f t="shared" si="7"/>
        <v>-332.48084581413326</v>
      </c>
      <c r="N24" s="172">
        <f t="shared" si="8"/>
        <v>-4480.8541514065637</v>
      </c>
      <c r="O24" s="171">
        <v>0</v>
      </c>
      <c r="P24" s="171">
        <v>0</v>
      </c>
      <c r="Q24" s="171">
        <v>0</v>
      </c>
      <c r="R24" s="172">
        <f t="shared" si="9"/>
        <v>-4480.8541514065637</v>
      </c>
    </row>
    <row r="25" spans="1:18" x14ac:dyDescent="0.25">
      <c r="A25" s="129">
        <v>6</v>
      </c>
      <c r="B25" s="164">
        <f t="shared" si="4"/>
        <v>45444</v>
      </c>
      <c r="C25" s="204">
        <v>45476</v>
      </c>
      <c r="D25" s="204">
        <v>45497</v>
      </c>
      <c r="E25" s="52" t="s">
        <v>21</v>
      </c>
      <c r="F25" s="129">
        <v>9</v>
      </c>
      <c r="G25" s="166">
        <v>4080</v>
      </c>
      <c r="H25" s="167">
        <f t="shared" si="5"/>
        <v>1.7695680965781104</v>
      </c>
      <c r="I25" s="167">
        <f t="shared" si="1"/>
        <v>0.49117878822913336</v>
      </c>
      <c r="J25" s="168">
        <f t="shared" si="2"/>
        <v>2004.0094559748641</v>
      </c>
      <c r="K25" s="169">
        <f t="shared" si="6"/>
        <v>7219.8378340386907</v>
      </c>
      <c r="L25" s="174">
        <f t="shared" si="3"/>
        <v>-5215.8283780638267</v>
      </c>
      <c r="M25" s="171">
        <f t="shared" si="7"/>
        <v>-418.03446869696876</v>
      </c>
      <c r="N25" s="172">
        <f t="shared" si="8"/>
        <v>-5633.862846760795</v>
      </c>
      <c r="O25" s="171">
        <v>0</v>
      </c>
      <c r="P25" s="171">
        <v>0</v>
      </c>
      <c r="Q25" s="171">
        <v>0</v>
      </c>
      <c r="R25" s="172">
        <f t="shared" si="9"/>
        <v>-5633.862846760795</v>
      </c>
    </row>
    <row r="26" spans="1:18" x14ac:dyDescent="0.25">
      <c r="A26" s="93">
        <v>7</v>
      </c>
      <c r="B26" s="164">
        <f t="shared" si="4"/>
        <v>45474</v>
      </c>
      <c r="C26" s="204">
        <v>45509</v>
      </c>
      <c r="D26" s="204">
        <v>45530</v>
      </c>
      <c r="E26" s="52" t="s">
        <v>21</v>
      </c>
      <c r="F26" s="129">
        <v>9</v>
      </c>
      <c r="G26" s="166">
        <v>4149</v>
      </c>
      <c r="H26" s="167">
        <f t="shared" si="5"/>
        <v>1.7695680965781104</v>
      </c>
      <c r="I26" s="167">
        <f t="shared" si="1"/>
        <v>0.49117878822913336</v>
      </c>
      <c r="J26" s="168">
        <f t="shared" si="2"/>
        <v>2037.9007923626743</v>
      </c>
      <c r="K26" s="175">
        <f t="shared" si="6"/>
        <v>7341.9380327025801</v>
      </c>
      <c r="L26" s="174">
        <f t="shared" si="3"/>
        <v>-5304.037240339906</v>
      </c>
      <c r="M26" s="171">
        <f t="shared" si="7"/>
        <v>-425.10416927052046</v>
      </c>
      <c r="N26" s="172">
        <f t="shared" si="8"/>
        <v>-5729.1414096104263</v>
      </c>
      <c r="O26" s="171">
        <v>0</v>
      </c>
      <c r="P26" s="171">
        <v>0</v>
      </c>
      <c r="Q26" s="171">
        <v>0</v>
      </c>
      <c r="R26" s="172">
        <f t="shared" si="9"/>
        <v>-5729.1414096104263</v>
      </c>
    </row>
    <row r="27" spans="1:18" x14ac:dyDescent="0.25">
      <c r="A27" s="129">
        <v>8</v>
      </c>
      <c r="B27" s="164">
        <f t="shared" si="4"/>
        <v>45505</v>
      </c>
      <c r="C27" s="204">
        <v>45539</v>
      </c>
      <c r="D27" s="204">
        <v>45559</v>
      </c>
      <c r="E27" s="52" t="s">
        <v>21</v>
      </c>
      <c r="F27" s="129">
        <v>9</v>
      </c>
      <c r="G27" s="166">
        <v>4151</v>
      </c>
      <c r="H27" s="167">
        <f t="shared" si="5"/>
        <v>1.7695680965781104</v>
      </c>
      <c r="I27" s="167">
        <f t="shared" si="1"/>
        <v>0.49117878822913336</v>
      </c>
      <c r="J27" s="168">
        <f t="shared" si="2"/>
        <v>2038.8831499391326</v>
      </c>
      <c r="K27" s="175">
        <f t="shared" si="6"/>
        <v>7345.4771688957362</v>
      </c>
      <c r="L27" s="174">
        <f t="shared" si="3"/>
        <v>-5306.5940189566036</v>
      </c>
      <c r="M27" s="171">
        <f t="shared" si="7"/>
        <v>-425.30908812772492</v>
      </c>
      <c r="N27" s="172">
        <f t="shared" si="8"/>
        <v>-5731.9031070843284</v>
      </c>
      <c r="O27" s="171">
        <v>0</v>
      </c>
      <c r="P27" s="171">
        <v>0</v>
      </c>
      <c r="Q27" s="171">
        <v>0</v>
      </c>
      <c r="R27" s="172">
        <f t="shared" si="9"/>
        <v>-5731.9031070843284</v>
      </c>
    </row>
    <row r="28" spans="1:18" x14ac:dyDescent="0.25">
      <c r="A28" s="129">
        <v>9</v>
      </c>
      <c r="B28" s="164">
        <f t="shared" si="4"/>
        <v>45536</v>
      </c>
      <c r="C28" s="204">
        <v>45568</v>
      </c>
      <c r="D28" s="204">
        <v>45589</v>
      </c>
      <c r="E28" s="52" t="s">
        <v>21</v>
      </c>
      <c r="F28" s="129">
        <v>9</v>
      </c>
      <c r="G28" s="166">
        <v>3859</v>
      </c>
      <c r="H28" s="167">
        <f t="shared" si="5"/>
        <v>1.7695680965781104</v>
      </c>
      <c r="I28" s="167">
        <f t="shared" si="1"/>
        <v>0.49117878822913336</v>
      </c>
      <c r="J28" s="168">
        <f t="shared" si="2"/>
        <v>1895.4589437762256</v>
      </c>
      <c r="K28" s="175">
        <f t="shared" si="6"/>
        <v>6828.7632846949282</v>
      </c>
      <c r="L28" s="174">
        <f t="shared" si="3"/>
        <v>-4933.304340918703</v>
      </c>
      <c r="M28" s="171">
        <f t="shared" si="7"/>
        <v>-395.390934975883</v>
      </c>
      <c r="N28" s="172">
        <f t="shared" si="8"/>
        <v>-5328.6952758945863</v>
      </c>
      <c r="O28" s="171">
        <v>0</v>
      </c>
      <c r="P28" s="171">
        <v>0</v>
      </c>
      <c r="Q28" s="171">
        <v>0</v>
      </c>
      <c r="R28" s="172">
        <f t="shared" si="9"/>
        <v>-5328.6952758945863</v>
      </c>
    </row>
    <row r="29" spans="1:18" x14ac:dyDescent="0.25">
      <c r="A29" s="93">
        <v>10</v>
      </c>
      <c r="B29" s="164">
        <f t="shared" si="4"/>
        <v>45566</v>
      </c>
      <c r="C29" s="204">
        <v>45601</v>
      </c>
      <c r="D29" s="204">
        <v>45621</v>
      </c>
      <c r="E29" s="52" t="s">
        <v>21</v>
      </c>
      <c r="F29" s="129">
        <v>9</v>
      </c>
      <c r="G29" s="166">
        <v>3429</v>
      </c>
      <c r="H29" s="167">
        <f t="shared" si="5"/>
        <v>1.7695680965781104</v>
      </c>
      <c r="I29" s="167">
        <f t="shared" si="1"/>
        <v>0.49117878822913336</v>
      </c>
      <c r="J29" s="168">
        <f t="shared" si="2"/>
        <v>1684.2520648376983</v>
      </c>
      <c r="K29" s="175">
        <f t="shared" si="6"/>
        <v>6067.8490031663405</v>
      </c>
      <c r="L29" s="174">
        <f t="shared" si="3"/>
        <v>-4383.596938328642</v>
      </c>
      <c r="M29" s="171">
        <f t="shared" si="7"/>
        <v>-351.33338067693779</v>
      </c>
      <c r="N29" s="172">
        <f t="shared" si="8"/>
        <v>-4734.9303190055798</v>
      </c>
      <c r="O29" s="171">
        <v>0</v>
      </c>
      <c r="P29" s="171">
        <v>0</v>
      </c>
      <c r="Q29" s="171">
        <v>0</v>
      </c>
      <c r="R29" s="172">
        <f t="shared" si="9"/>
        <v>-4734.9303190055798</v>
      </c>
    </row>
    <row r="30" spans="1:18" x14ac:dyDescent="0.25">
      <c r="A30" s="129">
        <v>11</v>
      </c>
      <c r="B30" s="164">
        <f t="shared" si="4"/>
        <v>45597</v>
      </c>
      <c r="C30" s="204">
        <v>45630</v>
      </c>
      <c r="D30" s="204">
        <v>45650</v>
      </c>
      <c r="E30" s="52" t="s">
        <v>21</v>
      </c>
      <c r="F30" s="129">
        <v>9</v>
      </c>
      <c r="G30" s="166">
        <v>2220</v>
      </c>
      <c r="H30" s="167">
        <f t="shared" si="5"/>
        <v>1.7695680965781104</v>
      </c>
      <c r="I30" s="167">
        <f t="shared" si="1"/>
        <v>0.49117878822913336</v>
      </c>
      <c r="J30" s="168">
        <f t="shared" si="2"/>
        <v>1090.4169098686762</v>
      </c>
      <c r="K30" s="175">
        <f t="shared" si="6"/>
        <v>3928.4411744034051</v>
      </c>
      <c r="L30" s="174">
        <f t="shared" si="3"/>
        <v>-2838.0242645347289</v>
      </c>
      <c r="M30" s="171">
        <f t="shared" si="7"/>
        <v>-227.45993149688007</v>
      </c>
      <c r="N30" s="172">
        <f t="shared" si="8"/>
        <v>-3065.4841960316089</v>
      </c>
      <c r="O30" s="171">
        <v>0</v>
      </c>
      <c r="P30" s="171">
        <v>0</v>
      </c>
      <c r="Q30" s="171">
        <v>0</v>
      </c>
      <c r="R30" s="172">
        <f t="shared" si="9"/>
        <v>-3065.4841960316089</v>
      </c>
    </row>
    <row r="31" spans="1:18" x14ac:dyDescent="0.25">
      <c r="A31" s="129">
        <v>12</v>
      </c>
      <c r="B31" s="164">
        <f t="shared" si="4"/>
        <v>45627</v>
      </c>
      <c r="C31" s="205">
        <v>45660</v>
      </c>
      <c r="D31" s="206">
        <v>45681</v>
      </c>
      <c r="E31" s="52" t="s">
        <v>21</v>
      </c>
      <c r="F31" s="129">
        <v>9</v>
      </c>
      <c r="G31" s="166">
        <v>2569</v>
      </c>
      <c r="H31" s="176">
        <f t="shared" si="5"/>
        <v>1.7695680965781104</v>
      </c>
      <c r="I31" s="176">
        <f t="shared" si="1"/>
        <v>0.49117878822913336</v>
      </c>
      <c r="J31" s="177">
        <f t="shared" si="2"/>
        <v>1261.8383069606436</v>
      </c>
      <c r="K31" s="178">
        <f t="shared" si="6"/>
        <v>4546.020440109166</v>
      </c>
      <c r="L31" s="179">
        <f t="shared" si="3"/>
        <v>-3284.1821331485226</v>
      </c>
      <c r="M31" s="171">
        <f t="shared" si="7"/>
        <v>-263.21827207904727</v>
      </c>
      <c r="N31" s="172">
        <f t="shared" si="8"/>
        <v>-3547.40040522757</v>
      </c>
      <c r="O31" s="171">
        <v>0</v>
      </c>
      <c r="P31" s="171">
        <v>0</v>
      </c>
      <c r="Q31" s="171">
        <v>0</v>
      </c>
      <c r="R31" s="172">
        <f t="shared" si="9"/>
        <v>-3547.40040522757</v>
      </c>
    </row>
    <row r="32" spans="1:18" x14ac:dyDescent="0.25">
      <c r="A32" s="93">
        <v>1</v>
      </c>
      <c r="B32" s="180">
        <f t="shared" si="4"/>
        <v>45292</v>
      </c>
      <c r="C32" s="181">
        <f t="shared" ref="C32:D43" si="10">+C20</f>
        <v>45327</v>
      </c>
      <c r="D32" s="181">
        <f t="shared" si="10"/>
        <v>45348</v>
      </c>
      <c r="E32" s="182" t="s">
        <v>22</v>
      </c>
      <c r="F32" s="183">
        <v>9</v>
      </c>
      <c r="G32" s="166">
        <v>3306</v>
      </c>
      <c r="H32" s="167">
        <f t="shared" si="5"/>
        <v>1.7695680965781104</v>
      </c>
      <c r="I32" s="167">
        <f t="shared" si="1"/>
        <v>0.49117878822913336</v>
      </c>
      <c r="J32" s="168">
        <f t="shared" si="2"/>
        <v>1623.8370738855149</v>
      </c>
      <c r="K32" s="169">
        <f t="shared" si="6"/>
        <v>5850.1921272872332</v>
      </c>
      <c r="L32" s="170">
        <f t="shared" si="3"/>
        <v>-4226.3550534017186</v>
      </c>
      <c r="M32" s="171">
        <f t="shared" si="7"/>
        <v>-338.7308709588674</v>
      </c>
      <c r="N32" s="172">
        <f t="shared" si="8"/>
        <v>-4565.0859243605864</v>
      </c>
      <c r="O32" s="171">
        <v>0</v>
      </c>
      <c r="P32" s="171">
        <v>0</v>
      </c>
      <c r="Q32" s="171">
        <v>0</v>
      </c>
      <c r="R32" s="172">
        <f t="shared" si="9"/>
        <v>-4565.0859243605864</v>
      </c>
    </row>
    <row r="33" spans="1:18" x14ac:dyDescent="0.25">
      <c r="A33" s="129">
        <v>2</v>
      </c>
      <c r="B33" s="164">
        <f t="shared" si="4"/>
        <v>45323</v>
      </c>
      <c r="C33" s="184">
        <f t="shared" si="10"/>
        <v>45356</v>
      </c>
      <c r="D33" s="184">
        <f t="shared" si="10"/>
        <v>45376</v>
      </c>
      <c r="E33" s="173" t="s">
        <v>22</v>
      </c>
      <c r="F33" s="129">
        <v>9</v>
      </c>
      <c r="G33" s="166">
        <v>2611</v>
      </c>
      <c r="H33" s="167">
        <f t="shared" si="5"/>
        <v>1.7695680965781104</v>
      </c>
      <c r="I33" s="167">
        <f t="shared" si="1"/>
        <v>0.49117878822913336</v>
      </c>
      <c r="J33" s="168">
        <f t="shared" si="2"/>
        <v>1282.4678160662672</v>
      </c>
      <c r="K33" s="169">
        <f t="shared" si="6"/>
        <v>4620.3423001654464</v>
      </c>
      <c r="L33" s="170">
        <f t="shared" si="3"/>
        <v>-3337.8744840991794</v>
      </c>
      <c r="M33" s="171">
        <f t="shared" si="7"/>
        <v>-267.52156808033959</v>
      </c>
      <c r="N33" s="172">
        <f t="shared" si="8"/>
        <v>-3605.3960521795188</v>
      </c>
      <c r="O33" s="171">
        <v>0</v>
      </c>
      <c r="P33" s="171">
        <v>0</v>
      </c>
      <c r="Q33" s="171">
        <v>0</v>
      </c>
      <c r="R33" s="172">
        <f t="shared" si="9"/>
        <v>-3605.3960521795188</v>
      </c>
    </row>
    <row r="34" spans="1:18" x14ac:dyDescent="0.25">
      <c r="A34" s="129">
        <v>3</v>
      </c>
      <c r="B34" s="164">
        <f t="shared" si="4"/>
        <v>45352</v>
      </c>
      <c r="C34" s="184">
        <f t="shared" si="10"/>
        <v>45385</v>
      </c>
      <c r="D34" s="184">
        <f t="shared" si="10"/>
        <v>45406</v>
      </c>
      <c r="E34" s="173" t="s">
        <v>22</v>
      </c>
      <c r="F34" s="129">
        <v>9</v>
      </c>
      <c r="G34" s="166">
        <v>2302</v>
      </c>
      <c r="H34" s="167">
        <f t="shared" si="5"/>
        <v>1.7695680965781104</v>
      </c>
      <c r="I34" s="167">
        <f t="shared" si="1"/>
        <v>0.49117878822913336</v>
      </c>
      <c r="J34" s="168">
        <f t="shared" si="2"/>
        <v>1130.693570503465</v>
      </c>
      <c r="K34" s="169">
        <f t="shared" ref="K34:K93" si="11">+$G34*H34</f>
        <v>4073.5457583228103</v>
      </c>
      <c r="L34" s="170">
        <f t="shared" si="3"/>
        <v>-2942.8521878193451</v>
      </c>
      <c r="M34" s="171">
        <f t="shared" si="7"/>
        <v>-235.86160464226032</v>
      </c>
      <c r="N34" s="172">
        <f t="shared" si="8"/>
        <v>-3178.7137924616054</v>
      </c>
      <c r="O34" s="171">
        <v>0</v>
      </c>
      <c r="P34" s="171">
        <v>0</v>
      </c>
      <c r="Q34" s="171">
        <v>0</v>
      </c>
      <c r="R34" s="172">
        <f t="shared" si="9"/>
        <v>-3178.7137924616054</v>
      </c>
    </row>
    <row r="35" spans="1:18" x14ac:dyDescent="0.25">
      <c r="A35" s="93">
        <v>4</v>
      </c>
      <c r="B35" s="164">
        <f t="shared" si="4"/>
        <v>45383</v>
      </c>
      <c r="C35" s="184">
        <f t="shared" si="10"/>
        <v>45415</v>
      </c>
      <c r="D35" s="184">
        <f t="shared" si="10"/>
        <v>45436</v>
      </c>
      <c r="E35" s="173" t="s">
        <v>22</v>
      </c>
      <c r="F35" s="129">
        <v>9</v>
      </c>
      <c r="G35" s="166">
        <v>2486</v>
      </c>
      <c r="H35" s="167">
        <f t="shared" si="5"/>
        <v>1.7695680965781104</v>
      </c>
      <c r="I35" s="167">
        <f t="shared" si="1"/>
        <v>0.49117878822913336</v>
      </c>
      <c r="J35" s="168">
        <f t="shared" si="2"/>
        <v>1221.0704675376255</v>
      </c>
      <c r="K35" s="169">
        <f t="shared" si="11"/>
        <v>4399.1462880931822</v>
      </c>
      <c r="L35" s="170">
        <f t="shared" ref="L35:L57" si="12">+J35-K35</f>
        <v>-3178.0758205555567</v>
      </c>
      <c r="M35" s="171">
        <f t="shared" si="7"/>
        <v>-254.71413950506482</v>
      </c>
      <c r="N35" s="172">
        <f t="shared" si="8"/>
        <v>-3432.7899600606215</v>
      </c>
      <c r="O35" s="171">
        <v>0</v>
      </c>
      <c r="P35" s="171">
        <v>0</v>
      </c>
      <c r="Q35" s="171">
        <v>0</v>
      </c>
      <c r="R35" s="172">
        <f t="shared" si="9"/>
        <v>-3432.7899600606215</v>
      </c>
    </row>
    <row r="36" spans="1:18" x14ac:dyDescent="0.25">
      <c r="A36" s="129">
        <v>5</v>
      </c>
      <c r="B36" s="164">
        <f t="shared" si="4"/>
        <v>45413</v>
      </c>
      <c r="C36" s="184">
        <f t="shared" si="10"/>
        <v>45448</v>
      </c>
      <c r="D36" s="184">
        <f t="shared" si="10"/>
        <v>45467</v>
      </c>
      <c r="E36" s="52" t="s">
        <v>22</v>
      </c>
      <c r="F36" s="129">
        <v>9</v>
      </c>
      <c r="G36" s="166">
        <v>2970</v>
      </c>
      <c r="H36" s="167">
        <f t="shared" si="5"/>
        <v>1.7695680965781104</v>
      </c>
      <c r="I36" s="167">
        <f t="shared" si="1"/>
        <v>0.49117878822913336</v>
      </c>
      <c r="J36" s="168">
        <f t="shared" si="2"/>
        <v>1458.801001040526</v>
      </c>
      <c r="K36" s="169">
        <f t="shared" si="11"/>
        <v>5255.6172468369878</v>
      </c>
      <c r="L36" s="170">
        <f t="shared" si="12"/>
        <v>-3796.8162457964618</v>
      </c>
      <c r="M36" s="171">
        <f t="shared" si="7"/>
        <v>-304.30450294852875</v>
      </c>
      <c r="N36" s="172">
        <f t="shared" si="8"/>
        <v>-4101.1207487449901</v>
      </c>
      <c r="O36" s="171">
        <v>0</v>
      </c>
      <c r="P36" s="171">
        <v>0</v>
      </c>
      <c r="Q36" s="171">
        <v>0</v>
      </c>
      <c r="R36" s="172">
        <f t="shared" si="9"/>
        <v>-4101.1207487449901</v>
      </c>
    </row>
    <row r="37" spans="1:18" x14ac:dyDescent="0.25">
      <c r="A37" s="129">
        <v>6</v>
      </c>
      <c r="B37" s="164">
        <f t="shared" si="4"/>
        <v>45444</v>
      </c>
      <c r="C37" s="184">
        <f t="shared" si="10"/>
        <v>45476</v>
      </c>
      <c r="D37" s="184">
        <f t="shared" si="10"/>
        <v>45497</v>
      </c>
      <c r="E37" s="52" t="s">
        <v>22</v>
      </c>
      <c r="F37" s="129">
        <v>9</v>
      </c>
      <c r="G37" s="166">
        <v>3483</v>
      </c>
      <c r="H37" s="167">
        <f t="shared" si="5"/>
        <v>1.7695680965781104</v>
      </c>
      <c r="I37" s="167">
        <f t="shared" si="1"/>
        <v>0.49117878822913336</v>
      </c>
      <c r="J37" s="168">
        <f t="shared" si="2"/>
        <v>1710.7757194020714</v>
      </c>
      <c r="K37" s="169">
        <f t="shared" si="11"/>
        <v>6163.4056803815583</v>
      </c>
      <c r="L37" s="174">
        <f t="shared" si="12"/>
        <v>-4452.6299609794869</v>
      </c>
      <c r="M37" s="171">
        <f t="shared" si="7"/>
        <v>-356.86618982145643</v>
      </c>
      <c r="N37" s="172">
        <f t="shared" si="8"/>
        <v>-4809.4961508009437</v>
      </c>
      <c r="O37" s="171">
        <v>0</v>
      </c>
      <c r="P37" s="171">
        <v>0</v>
      </c>
      <c r="Q37" s="171">
        <v>0</v>
      </c>
      <c r="R37" s="172">
        <f t="shared" si="9"/>
        <v>-4809.4961508009437</v>
      </c>
    </row>
    <row r="38" spans="1:18" x14ac:dyDescent="0.25">
      <c r="A38" s="93">
        <v>7</v>
      </c>
      <c r="B38" s="164">
        <f t="shared" si="4"/>
        <v>45474</v>
      </c>
      <c r="C38" s="184">
        <f t="shared" si="10"/>
        <v>45509</v>
      </c>
      <c r="D38" s="184">
        <f t="shared" si="10"/>
        <v>45530</v>
      </c>
      <c r="E38" s="52" t="s">
        <v>22</v>
      </c>
      <c r="F38" s="129">
        <v>9</v>
      </c>
      <c r="G38" s="166">
        <v>3510</v>
      </c>
      <c r="H38" s="167">
        <f t="shared" si="5"/>
        <v>1.7695680965781104</v>
      </c>
      <c r="I38" s="167">
        <f t="shared" si="1"/>
        <v>0.49117878822913336</v>
      </c>
      <c r="J38" s="168">
        <f t="shared" si="2"/>
        <v>1724.0375466842581</v>
      </c>
      <c r="K38" s="175">
        <f t="shared" si="11"/>
        <v>6211.1840189891673</v>
      </c>
      <c r="L38" s="174">
        <f t="shared" si="12"/>
        <v>-4487.1464723049094</v>
      </c>
      <c r="M38" s="171">
        <f t="shared" si="7"/>
        <v>-359.63259439371581</v>
      </c>
      <c r="N38" s="172">
        <f t="shared" si="8"/>
        <v>-4846.7790666986248</v>
      </c>
      <c r="O38" s="171">
        <v>0</v>
      </c>
      <c r="P38" s="171">
        <v>0</v>
      </c>
      <c r="Q38" s="171">
        <v>0</v>
      </c>
      <c r="R38" s="172">
        <f t="shared" si="9"/>
        <v>-4846.7790666986248</v>
      </c>
    </row>
    <row r="39" spans="1:18" x14ac:dyDescent="0.25">
      <c r="A39" s="129">
        <v>8</v>
      </c>
      <c r="B39" s="164">
        <f t="shared" si="4"/>
        <v>45505</v>
      </c>
      <c r="C39" s="184">
        <f t="shared" si="10"/>
        <v>45539</v>
      </c>
      <c r="D39" s="184">
        <f t="shared" si="10"/>
        <v>45559</v>
      </c>
      <c r="E39" s="52" t="s">
        <v>22</v>
      </c>
      <c r="F39" s="129">
        <v>9</v>
      </c>
      <c r="G39" s="166">
        <v>3574</v>
      </c>
      <c r="H39" s="167">
        <f t="shared" si="5"/>
        <v>1.7695680965781104</v>
      </c>
      <c r="I39" s="167">
        <f t="shared" si="1"/>
        <v>0.49117878822913336</v>
      </c>
      <c r="J39" s="168">
        <f t="shared" si="2"/>
        <v>1755.4729891309225</v>
      </c>
      <c r="K39" s="175">
        <f t="shared" si="11"/>
        <v>6324.4363771701665</v>
      </c>
      <c r="L39" s="174">
        <f t="shared" si="12"/>
        <v>-4568.9633880392439</v>
      </c>
      <c r="M39" s="171">
        <f t="shared" si="7"/>
        <v>-366.18999782425647</v>
      </c>
      <c r="N39" s="172">
        <f t="shared" si="8"/>
        <v>-4935.1533858635003</v>
      </c>
      <c r="O39" s="171">
        <v>0</v>
      </c>
      <c r="P39" s="171">
        <v>0</v>
      </c>
      <c r="Q39" s="171">
        <v>0</v>
      </c>
      <c r="R39" s="172">
        <f t="shared" si="9"/>
        <v>-4935.1533858635003</v>
      </c>
    </row>
    <row r="40" spans="1:18" x14ac:dyDescent="0.25">
      <c r="A40" s="129">
        <v>9</v>
      </c>
      <c r="B40" s="164">
        <f t="shared" si="4"/>
        <v>45536</v>
      </c>
      <c r="C40" s="184">
        <f t="shared" si="10"/>
        <v>45568</v>
      </c>
      <c r="D40" s="184">
        <f t="shared" si="10"/>
        <v>45589</v>
      </c>
      <c r="E40" s="52" t="s">
        <v>22</v>
      </c>
      <c r="F40" s="129">
        <v>9</v>
      </c>
      <c r="G40" s="166">
        <v>3188</v>
      </c>
      <c r="H40" s="167">
        <f t="shared" si="5"/>
        <v>1.7695680965781104</v>
      </c>
      <c r="I40" s="167">
        <f t="shared" si="1"/>
        <v>0.49117878822913336</v>
      </c>
      <c r="J40" s="168">
        <f t="shared" si="2"/>
        <v>1565.8779768744771</v>
      </c>
      <c r="K40" s="175">
        <f t="shared" si="11"/>
        <v>5641.3830918910162</v>
      </c>
      <c r="L40" s="174">
        <f t="shared" si="12"/>
        <v>-4075.5051150165391</v>
      </c>
      <c r="M40" s="171">
        <f t="shared" si="7"/>
        <v>-326.64065838380793</v>
      </c>
      <c r="N40" s="172">
        <f t="shared" si="8"/>
        <v>-4402.145773400347</v>
      </c>
      <c r="O40" s="171">
        <v>0</v>
      </c>
      <c r="P40" s="171">
        <v>0</v>
      </c>
      <c r="Q40" s="171">
        <v>0</v>
      </c>
      <c r="R40" s="172">
        <f t="shared" si="9"/>
        <v>-4402.145773400347</v>
      </c>
    </row>
    <row r="41" spans="1:18" x14ac:dyDescent="0.25">
      <c r="A41" s="93">
        <v>10</v>
      </c>
      <c r="B41" s="164">
        <f t="shared" si="4"/>
        <v>45566</v>
      </c>
      <c r="C41" s="184">
        <f t="shared" si="10"/>
        <v>45601</v>
      </c>
      <c r="D41" s="184">
        <f t="shared" si="10"/>
        <v>45621</v>
      </c>
      <c r="E41" s="52" t="s">
        <v>22</v>
      </c>
      <c r="F41" s="129">
        <v>9</v>
      </c>
      <c r="G41" s="166">
        <v>2793</v>
      </c>
      <c r="H41" s="167">
        <f t="shared" si="5"/>
        <v>1.7695680965781104</v>
      </c>
      <c r="I41" s="167">
        <f t="shared" si="1"/>
        <v>0.49117878822913336</v>
      </c>
      <c r="J41" s="168">
        <f t="shared" si="2"/>
        <v>1371.8623555239694</v>
      </c>
      <c r="K41" s="175">
        <f t="shared" si="11"/>
        <v>4942.4036937426627</v>
      </c>
      <c r="L41" s="174">
        <f t="shared" si="12"/>
        <v>-3570.5413382186935</v>
      </c>
      <c r="M41" s="171">
        <f t="shared" si="7"/>
        <v>-286.16918408593966</v>
      </c>
      <c r="N41" s="172">
        <f t="shared" si="8"/>
        <v>-3856.7105223046333</v>
      </c>
      <c r="O41" s="171">
        <v>0</v>
      </c>
      <c r="P41" s="171">
        <v>0</v>
      </c>
      <c r="Q41" s="171">
        <v>0</v>
      </c>
      <c r="R41" s="172">
        <f t="shared" si="9"/>
        <v>-3856.7105223046333</v>
      </c>
    </row>
    <row r="42" spans="1:18" x14ac:dyDescent="0.25">
      <c r="A42" s="129">
        <v>11</v>
      </c>
      <c r="B42" s="164">
        <f t="shared" si="4"/>
        <v>45597</v>
      </c>
      <c r="C42" s="184">
        <f t="shared" si="10"/>
        <v>45630</v>
      </c>
      <c r="D42" s="184">
        <f t="shared" si="10"/>
        <v>45650</v>
      </c>
      <c r="E42" s="52" t="s">
        <v>22</v>
      </c>
      <c r="F42" s="129">
        <v>9</v>
      </c>
      <c r="G42" s="166">
        <v>2339</v>
      </c>
      <c r="H42" s="167">
        <f t="shared" si="5"/>
        <v>1.7695680965781104</v>
      </c>
      <c r="I42" s="167">
        <f t="shared" si="1"/>
        <v>0.49117878822913336</v>
      </c>
      <c r="J42" s="168">
        <f t="shared" si="2"/>
        <v>1148.867185667943</v>
      </c>
      <c r="K42" s="175">
        <f t="shared" si="11"/>
        <v>4139.0197778962001</v>
      </c>
      <c r="L42" s="174">
        <f t="shared" si="12"/>
        <v>-2990.1525922282572</v>
      </c>
      <c r="M42" s="171">
        <f t="shared" si="7"/>
        <v>-239.65260350054166</v>
      </c>
      <c r="N42" s="172">
        <f t="shared" si="8"/>
        <v>-3229.8051957287989</v>
      </c>
      <c r="O42" s="171">
        <v>0</v>
      </c>
      <c r="P42" s="171">
        <v>0</v>
      </c>
      <c r="Q42" s="171">
        <v>0</v>
      </c>
      <c r="R42" s="172">
        <f t="shared" si="9"/>
        <v>-3229.8051957287989</v>
      </c>
    </row>
    <row r="43" spans="1:18" x14ac:dyDescent="0.25">
      <c r="A43" s="129">
        <v>12</v>
      </c>
      <c r="B43" s="164">
        <f t="shared" si="4"/>
        <v>45627</v>
      </c>
      <c r="C43" s="184">
        <f t="shared" si="10"/>
        <v>45660</v>
      </c>
      <c r="D43" s="184">
        <f t="shared" si="10"/>
        <v>45681</v>
      </c>
      <c r="E43" s="52" t="s">
        <v>22</v>
      </c>
      <c r="F43" s="129">
        <v>9</v>
      </c>
      <c r="G43" s="166">
        <v>2520</v>
      </c>
      <c r="H43" s="176">
        <f t="shared" si="5"/>
        <v>1.7695680965781104</v>
      </c>
      <c r="I43" s="176">
        <f t="shared" si="1"/>
        <v>0.49117878822913336</v>
      </c>
      <c r="J43" s="177">
        <f t="shared" si="2"/>
        <v>1237.7705463374161</v>
      </c>
      <c r="K43" s="178">
        <f t="shared" si="11"/>
        <v>4459.3116033768383</v>
      </c>
      <c r="L43" s="179">
        <f t="shared" si="12"/>
        <v>-3221.5410570394224</v>
      </c>
      <c r="M43" s="171">
        <f t="shared" si="7"/>
        <v>-258.19776007753956</v>
      </c>
      <c r="N43" s="172">
        <f t="shared" si="8"/>
        <v>-3479.7388171169619</v>
      </c>
      <c r="O43" s="171">
        <v>0</v>
      </c>
      <c r="P43" s="171">
        <v>0</v>
      </c>
      <c r="Q43" s="171">
        <v>0</v>
      </c>
      <c r="R43" s="172">
        <f t="shared" si="9"/>
        <v>-3479.7388171169619</v>
      </c>
    </row>
    <row r="44" spans="1:18" x14ac:dyDescent="0.25">
      <c r="A44" s="93">
        <v>1</v>
      </c>
      <c r="B44" s="180">
        <f t="shared" ref="B44:B55" si="13">DATE($R$1,A44,1)</f>
        <v>45292</v>
      </c>
      <c r="C44" s="181">
        <f t="shared" ref="C44:D55" si="14">+C32</f>
        <v>45327</v>
      </c>
      <c r="D44" s="181">
        <f t="shared" si="14"/>
        <v>45348</v>
      </c>
      <c r="E44" s="182" t="s">
        <v>83</v>
      </c>
      <c r="F44" s="183">
        <v>9</v>
      </c>
      <c r="G44" s="166">
        <v>216</v>
      </c>
      <c r="H44" s="167">
        <f t="shared" si="5"/>
        <v>1.7695680965781104</v>
      </c>
      <c r="I44" s="167">
        <f t="shared" si="1"/>
        <v>0.49117878822913336</v>
      </c>
      <c r="J44" s="171">
        <f t="shared" ref="J44:J55" si="15">+$G44*I44</f>
        <v>106.09461825749281</v>
      </c>
      <c r="K44" s="175">
        <f t="shared" ref="K44:K55" si="16">+$G44*H44</f>
        <v>382.22670886087184</v>
      </c>
      <c r="L44" s="174">
        <f t="shared" ref="L44:L55" si="17">+J44-K44</f>
        <v>-276.13209060337903</v>
      </c>
      <c r="M44" s="171">
        <f t="shared" si="7"/>
        <v>-22.131236578074819</v>
      </c>
      <c r="N44" s="172">
        <f t="shared" si="8"/>
        <v>-298.26332718145386</v>
      </c>
      <c r="O44" s="171">
        <v>0</v>
      </c>
      <c r="P44" s="171">
        <v>0</v>
      </c>
      <c r="Q44" s="171">
        <v>0</v>
      </c>
      <c r="R44" s="172">
        <f t="shared" si="9"/>
        <v>-298.26332718145386</v>
      </c>
    </row>
    <row r="45" spans="1:18" x14ac:dyDescent="0.25">
      <c r="A45" s="129">
        <v>2</v>
      </c>
      <c r="B45" s="164">
        <f t="shared" si="13"/>
        <v>45323</v>
      </c>
      <c r="C45" s="184">
        <f t="shared" si="14"/>
        <v>45356</v>
      </c>
      <c r="D45" s="184">
        <f t="shared" si="14"/>
        <v>45376</v>
      </c>
      <c r="E45" s="173" t="s">
        <v>83</v>
      </c>
      <c r="F45" s="129">
        <v>9</v>
      </c>
      <c r="G45" s="166">
        <v>146</v>
      </c>
      <c r="H45" s="167">
        <f t="shared" si="5"/>
        <v>1.7695680965781104</v>
      </c>
      <c r="I45" s="167">
        <f t="shared" si="1"/>
        <v>0.49117878822913336</v>
      </c>
      <c r="J45" s="171">
        <f t="shared" si="15"/>
        <v>71.712103081453463</v>
      </c>
      <c r="K45" s="175">
        <f t="shared" si="16"/>
        <v>258.35694210040413</v>
      </c>
      <c r="L45" s="174">
        <f t="shared" si="17"/>
        <v>-186.64483901895068</v>
      </c>
      <c r="M45" s="171">
        <f t="shared" si="7"/>
        <v>-14.959076575920941</v>
      </c>
      <c r="N45" s="172">
        <f t="shared" si="8"/>
        <v>-201.60391559487161</v>
      </c>
      <c r="O45" s="171">
        <v>0</v>
      </c>
      <c r="P45" s="171">
        <v>0</v>
      </c>
      <c r="Q45" s="171">
        <v>0</v>
      </c>
      <c r="R45" s="172">
        <f t="shared" si="9"/>
        <v>-201.60391559487161</v>
      </c>
    </row>
    <row r="46" spans="1:18" x14ac:dyDescent="0.25">
      <c r="A46" s="129">
        <v>3</v>
      </c>
      <c r="B46" s="164">
        <f t="shared" si="13"/>
        <v>45352</v>
      </c>
      <c r="C46" s="184">
        <f t="shared" si="14"/>
        <v>45385</v>
      </c>
      <c r="D46" s="184">
        <f t="shared" si="14"/>
        <v>45406</v>
      </c>
      <c r="E46" s="173" t="s">
        <v>83</v>
      </c>
      <c r="F46" s="129">
        <v>9</v>
      </c>
      <c r="G46" s="166">
        <v>113</v>
      </c>
      <c r="H46" s="167">
        <f t="shared" si="5"/>
        <v>1.7695680965781104</v>
      </c>
      <c r="I46" s="167">
        <f t="shared" si="1"/>
        <v>0.49117878822913336</v>
      </c>
      <c r="J46" s="171">
        <f t="shared" si="15"/>
        <v>55.503203069892066</v>
      </c>
      <c r="K46" s="175">
        <f t="shared" si="16"/>
        <v>199.96119491332647</v>
      </c>
      <c r="L46" s="174">
        <f t="shared" si="17"/>
        <v>-144.4579918434344</v>
      </c>
      <c r="M46" s="171">
        <f t="shared" si="7"/>
        <v>-11.5779154320484</v>
      </c>
      <c r="N46" s="172">
        <f t="shared" si="8"/>
        <v>-156.0359072754828</v>
      </c>
      <c r="O46" s="171">
        <v>0</v>
      </c>
      <c r="P46" s="171">
        <v>0</v>
      </c>
      <c r="Q46" s="171">
        <v>0</v>
      </c>
      <c r="R46" s="172">
        <f t="shared" si="9"/>
        <v>-156.0359072754828</v>
      </c>
    </row>
    <row r="47" spans="1:18" x14ac:dyDescent="0.25">
      <c r="A47" s="93">
        <v>4</v>
      </c>
      <c r="B47" s="164">
        <f t="shared" si="13"/>
        <v>45383</v>
      </c>
      <c r="C47" s="184">
        <f t="shared" si="14"/>
        <v>45415</v>
      </c>
      <c r="D47" s="184">
        <f t="shared" si="14"/>
        <v>45436</v>
      </c>
      <c r="E47" s="173" t="s">
        <v>83</v>
      </c>
      <c r="F47" s="129">
        <v>9</v>
      </c>
      <c r="G47" s="166">
        <v>76</v>
      </c>
      <c r="H47" s="167">
        <f t="shared" si="5"/>
        <v>1.7695680965781104</v>
      </c>
      <c r="I47" s="167">
        <f t="shared" si="1"/>
        <v>0.49117878822913336</v>
      </c>
      <c r="J47" s="171">
        <f t="shared" si="15"/>
        <v>37.329587905414137</v>
      </c>
      <c r="K47" s="175">
        <f t="shared" si="16"/>
        <v>134.48717533993639</v>
      </c>
      <c r="L47" s="174">
        <f t="shared" si="17"/>
        <v>-97.157587434522242</v>
      </c>
      <c r="M47" s="171">
        <f t="shared" si="7"/>
        <v>-7.7869165737670665</v>
      </c>
      <c r="N47" s="172">
        <f t="shared" si="8"/>
        <v>-104.94450400828931</v>
      </c>
      <c r="O47" s="171">
        <v>0</v>
      </c>
      <c r="P47" s="171">
        <v>0</v>
      </c>
      <c r="Q47" s="171">
        <v>0</v>
      </c>
      <c r="R47" s="172">
        <f t="shared" si="9"/>
        <v>-104.94450400828931</v>
      </c>
    </row>
    <row r="48" spans="1:18" x14ac:dyDescent="0.25">
      <c r="A48" s="129">
        <v>5</v>
      </c>
      <c r="B48" s="164">
        <f t="shared" si="13"/>
        <v>45413</v>
      </c>
      <c r="C48" s="184">
        <f t="shared" si="14"/>
        <v>45448</v>
      </c>
      <c r="D48" s="184">
        <f t="shared" si="14"/>
        <v>45467</v>
      </c>
      <c r="E48" s="173" t="s">
        <v>83</v>
      </c>
      <c r="F48" s="129">
        <v>9</v>
      </c>
      <c r="G48" s="166">
        <v>120</v>
      </c>
      <c r="H48" s="167">
        <f t="shared" si="5"/>
        <v>1.7695680965781104</v>
      </c>
      <c r="I48" s="167">
        <f t="shared" si="1"/>
        <v>0.49117878822913336</v>
      </c>
      <c r="J48" s="171">
        <f t="shared" si="15"/>
        <v>58.941454587496004</v>
      </c>
      <c r="K48" s="175">
        <f t="shared" si="16"/>
        <v>212.34817158937324</v>
      </c>
      <c r="L48" s="174">
        <f t="shared" si="17"/>
        <v>-153.40671700187724</v>
      </c>
      <c r="M48" s="171">
        <f t="shared" si="7"/>
        <v>-12.295131432263789</v>
      </c>
      <c r="N48" s="172">
        <f t="shared" si="8"/>
        <v>-165.70184843414103</v>
      </c>
      <c r="O48" s="171">
        <v>0</v>
      </c>
      <c r="P48" s="171">
        <v>0</v>
      </c>
      <c r="Q48" s="171">
        <v>0</v>
      </c>
      <c r="R48" s="172">
        <f t="shared" si="9"/>
        <v>-165.70184843414103</v>
      </c>
    </row>
    <row r="49" spans="1:18" x14ac:dyDescent="0.25">
      <c r="A49" s="129">
        <v>6</v>
      </c>
      <c r="B49" s="164">
        <f t="shared" si="13"/>
        <v>45444</v>
      </c>
      <c r="C49" s="184">
        <f t="shared" si="14"/>
        <v>45476</v>
      </c>
      <c r="D49" s="184">
        <f t="shared" si="14"/>
        <v>45497</v>
      </c>
      <c r="E49" s="173" t="s">
        <v>83</v>
      </c>
      <c r="F49" s="129">
        <v>9</v>
      </c>
      <c r="G49" s="166">
        <v>147</v>
      </c>
      <c r="H49" s="167">
        <f t="shared" si="5"/>
        <v>1.7695680965781104</v>
      </c>
      <c r="I49" s="167">
        <f t="shared" si="1"/>
        <v>0.49117878822913336</v>
      </c>
      <c r="J49" s="171">
        <f t="shared" si="15"/>
        <v>72.203281869682598</v>
      </c>
      <c r="K49" s="175">
        <f t="shared" si="16"/>
        <v>260.12651019698222</v>
      </c>
      <c r="L49" s="174">
        <f t="shared" si="17"/>
        <v>-187.92322832729963</v>
      </c>
      <c r="M49" s="171">
        <f t="shared" si="7"/>
        <v>-15.061536004523141</v>
      </c>
      <c r="N49" s="172">
        <f t="shared" si="8"/>
        <v>-202.98476433182276</v>
      </c>
      <c r="O49" s="171">
        <v>0</v>
      </c>
      <c r="P49" s="171">
        <v>0</v>
      </c>
      <c r="Q49" s="171">
        <v>0</v>
      </c>
      <c r="R49" s="172">
        <f t="shared" si="9"/>
        <v>-202.98476433182276</v>
      </c>
    </row>
    <row r="50" spans="1:18" x14ac:dyDescent="0.25">
      <c r="A50" s="93">
        <v>7</v>
      </c>
      <c r="B50" s="164">
        <f t="shared" si="13"/>
        <v>45474</v>
      </c>
      <c r="C50" s="184">
        <f t="shared" si="14"/>
        <v>45509</v>
      </c>
      <c r="D50" s="184">
        <f t="shared" si="14"/>
        <v>45530</v>
      </c>
      <c r="E50" s="173" t="s">
        <v>83</v>
      </c>
      <c r="F50" s="129">
        <v>9</v>
      </c>
      <c r="G50" s="166">
        <v>155</v>
      </c>
      <c r="H50" s="167">
        <f t="shared" si="5"/>
        <v>1.7695680965781104</v>
      </c>
      <c r="I50" s="167">
        <f t="shared" si="1"/>
        <v>0.49117878822913336</v>
      </c>
      <c r="J50" s="171">
        <f t="shared" si="15"/>
        <v>76.132712175515664</v>
      </c>
      <c r="K50" s="175">
        <f t="shared" si="16"/>
        <v>274.28305496960712</v>
      </c>
      <c r="L50" s="174">
        <f t="shared" si="17"/>
        <v>-198.15034279409144</v>
      </c>
      <c r="M50" s="171">
        <f t="shared" si="7"/>
        <v>-15.881211433340727</v>
      </c>
      <c r="N50" s="172">
        <f t="shared" si="8"/>
        <v>-214.03155422743217</v>
      </c>
      <c r="O50" s="171">
        <v>0</v>
      </c>
      <c r="P50" s="171">
        <v>0</v>
      </c>
      <c r="Q50" s="171">
        <v>0</v>
      </c>
      <c r="R50" s="172">
        <f t="shared" si="9"/>
        <v>-214.03155422743217</v>
      </c>
    </row>
    <row r="51" spans="1:18" x14ac:dyDescent="0.25">
      <c r="A51" s="129">
        <v>8</v>
      </c>
      <c r="B51" s="164">
        <f t="shared" si="13"/>
        <v>45505</v>
      </c>
      <c r="C51" s="184">
        <f t="shared" si="14"/>
        <v>45539</v>
      </c>
      <c r="D51" s="184">
        <f t="shared" si="14"/>
        <v>45559</v>
      </c>
      <c r="E51" s="173" t="s">
        <v>83</v>
      </c>
      <c r="F51" s="129">
        <v>9</v>
      </c>
      <c r="G51" s="166">
        <v>157</v>
      </c>
      <c r="H51" s="167">
        <f t="shared" si="5"/>
        <v>1.7695680965781104</v>
      </c>
      <c r="I51" s="167">
        <f t="shared" si="1"/>
        <v>0.49117878822913336</v>
      </c>
      <c r="J51" s="171">
        <f t="shared" si="15"/>
        <v>77.115069751973934</v>
      </c>
      <c r="K51" s="175">
        <f t="shared" si="16"/>
        <v>277.82219116276332</v>
      </c>
      <c r="L51" s="174">
        <f t="shared" si="17"/>
        <v>-200.7071214107894</v>
      </c>
      <c r="M51" s="171">
        <f t="shared" si="7"/>
        <v>-16.086130290545121</v>
      </c>
      <c r="N51" s="172">
        <f t="shared" si="8"/>
        <v>-216.79325170133453</v>
      </c>
      <c r="O51" s="171">
        <v>0</v>
      </c>
      <c r="P51" s="171">
        <v>0</v>
      </c>
      <c r="Q51" s="171">
        <v>0</v>
      </c>
      <c r="R51" s="172">
        <f t="shared" si="9"/>
        <v>-216.79325170133453</v>
      </c>
    </row>
    <row r="52" spans="1:18" x14ac:dyDescent="0.25">
      <c r="A52" s="129">
        <v>9</v>
      </c>
      <c r="B52" s="164">
        <f t="shared" si="13"/>
        <v>45536</v>
      </c>
      <c r="C52" s="184">
        <f t="shared" si="14"/>
        <v>45568</v>
      </c>
      <c r="D52" s="184">
        <f t="shared" si="14"/>
        <v>45589</v>
      </c>
      <c r="E52" s="173" t="s">
        <v>83</v>
      </c>
      <c r="F52" s="129">
        <v>9</v>
      </c>
      <c r="G52" s="166">
        <v>126</v>
      </c>
      <c r="H52" s="167">
        <f t="shared" si="5"/>
        <v>1.7695680965781104</v>
      </c>
      <c r="I52" s="167">
        <f t="shared" si="1"/>
        <v>0.49117878822913336</v>
      </c>
      <c r="J52" s="171">
        <f t="shared" si="15"/>
        <v>61.8885273168708</v>
      </c>
      <c r="K52" s="175">
        <f t="shared" si="16"/>
        <v>222.96558016884191</v>
      </c>
      <c r="L52" s="174">
        <f t="shared" si="17"/>
        <v>-161.0770528519711</v>
      </c>
      <c r="M52" s="171">
        <f t="shared" si="7"/>
        <v>-12.909888003876977</v>
      </c>
      <c r="N52" s="172">
        <f t="shared" si="8"/>
        <v>-173.98694085584808</v>
      </c>
      <c r="O52" s="171">
        <v>0</v>
      </c>
      <c r="P52" s="171">
        <v>0</v>
      </c>
      <c r="Q52" s="171">
        <v>0</v>
      </c>
      <c r="R52" s="172">
        <f t="shared" si="9"/>
        <v>-173.98694085584808</v>
      </c>
    </row>
    <row r="53" spans="1:18" x14ac:dyDescent="0.25">
      <c r="A53" s="93">
        <v>10</v>
      </c>
      <c r="B53" s="164">
        <f t="shared" si="13"/>
        <v>45566</v>
      </c>
      <c r="C53" s="184">
        <f t="shared" si="14"/>
        <v>45601</v>
      </c>
      <c r="D53" s="184">
        <f t="shared" si="14"/>
        <v>45621</v>
      </c>
      <c r="E53" s="173" t="s">
        <v>83</v>
      </c>
      <c r="F53" s="129">
        <v>9</v>
      </c>
      <c r="G53" s="166">
        <v>112</v>
      </c>
      <c r="H53" s="167">
        <f t="shared" si="5"/>
        <v>1.7695680965781104</v>
      </c>
      <c r="I53" s="167">
        <f t="shared" si="1"/>
        <v>0.49117878822913336</v>
      </c>
      <c r="J53" s="171">
        <f t="shared" si="15"/>
        <v>55.012024281662939</v>
      </c>
      <c r="K53" s="175">
        <f t="shared" si="16"/>
        <v>198.19162681674837</v>
      </c>
      <c r="L53" s="174">
        <f t="shared" si="17"/>
        <v>-143.17960253508542</v>
      </c>
      <c r="M53" s="171">
        <f t="shared" si="7"/>
        <v>-11.475456003446203</v>
      </c>
      <c r="N53" s="172">
        <f t="shared" si="8"/>
        <v>-154.65505853853162</v>
      </c>
      <c r="O53" s="171">
        <v>0</v>
      </c>
      <c r="P53" s="171">
        <v>0</v>
      </c>
      <c r="Q53" s="171">
        <v>0</v>
      </c>
      <c r="R53" s="172">
        <f t="shared" si="9"/>
        <v>-154.65505853853162</v>
      </c>
    </row>
    <row r="54" spans="1:18" x14ac:dyDescent="0.25">
      <c r="A54" s="129">
        <v>11</v>
      </c>
      <c r="B54" s="164">
        <f t="shared" si="13"/>
        <v>45597</v>
      </c>
      <c r="C54" s="184">
        <f t="shared" si="14"/>
        <v>45630</v>
      </c>
      <c r="D54" s="184">
        <f t="shared" si="14"/>
        <v>45650</v>
      </c>
      <c r="E54" s="173" t="s">
        <v>83</v>
      </c>
      <c r="F54" s="129">
        <v>9</v>
      </c>
      <c r="G54" s="166">
        <v>93</v>
      </c>
      <c r="H54" s="167">
        <f t="shared" si="5"/>
        <v>1.7695680965781104</v>
      </c>
      <c r="I54" s="167">
        <f t="shared" si="1"/>
        <v>0.49117878822913336</v>
      </c>
      <c r="J54" s="171">
        <f t="shared" si="15"/>
        <v>45.679627305309403</v>
      </c>
      <c r="K54" s="175">
        <f t="shared" si="16"/>
        <v>164.56983298176428</v>
      </c>
      <c r="L54" s="174">
        <f t="shared" si="17"/>
        <v>-118.89020567645488</v>
      </c>
      <c r="M54" s="171">
        <f t="shared" si="7"/>
        <v>-9.5287268600044364</v>
      </c>
      <c r="N54" s="172">
        <f t="shared" si="8"/>
        <v>-128.41893253645932</v>
      </c>
      <c r="O54" s="171">
        <v>0</v>
      </c>
      <c r="P54" s="171">
        <v>0</v>
      </c>
      <c r="Q54" s="171">
        <v>0</v>
      </c>
      <c r="R54" s="172">
        <f t="shared" si="9"/>
        <v>-128.41893253645932</v>
      </c>
    </row>
    <row r="55" spans="1:18" x14ac:dyDescent="0.25">
      <c r="A55" s="129">
        <v>12</v>
      </c>
      <c r="B55" s="164">
        <f t="shared" si="13"/>
        <v>45627</v>
      </c>
      <c r="C55" s="184">
        <f t="shared" si="14"/>
        <v>45660</v>
      </c>
      <c r="D55" s="184">
        <f t="shared" si="14"/>
        <v>45681</v>
      </c>
      <c r="E55" s="173" t="s">
        <v>83</v>
      </c>
      <c r="F55" s="129">
        <v>9</v>
      </c>
      <c r="G55" s="166">
        <v>128</v>
      </c>
      <c r="H55" s="176">
        <f t="shared" si="5"/>
        <v>1.7695680965781104</v>
      </c>
      <c r="I55" s="176">
        <f t="shared" si="1"/>
        <v>0.49117878822913336</v>
      </c>
      <c r="J55" s="177">
        <f t="shared" si="15"/>
        <v>62.87088489332907</v>
      </c>
      <c r="K55" s="178">
        <f t="shared" si="16"/>
        <v>226.50471636199813</v>
      </c>
      <c r="L55" s="179">
        <f t="shared" si="17"/>
        <v>-163.63383146866906</v>
      </c>
      <c r="M55" s="171">
        <f t="shared" si="7"/>
        <v>-13.114806861081375</v>
      </c>
      <c r="N55" s="172">
        <f t="shared" si="8"/>
        <v>-176.74863832975043</v>
      </c>
      <c r="O55" s="171">
        <v>0</v>
      </c>
      <c r="P55" s="171">
        <v>0</v>
      </c>
      <c r="Q55" s="171">
        <v>0</v>
      </c>
      <c r="R55" s="172">
        <f t="shared" si="9"/>
        <v>-176.74863832975043</v>
      </c>
    </row>
    <row r="56" spans="1:18" s="185" customFormat="1" x14ac:dyDescent="0.25">
      <c r="A56" s="93">
        <v>1</v>
      </c>
      <c r="B56" s="180">
        <f t="shared" si="4"/>
        <v>45292</v>
      </c>
      <c r="C56" s="181">
        <f t="shared" ref="C56:D67" si="18">+C32</f>
        <v>45327</v>
      </c>
      <c r="D56" s="181">
        <f t="shared" si="18"/>
        <v>45348</v>
      </c>
      <c r="E56" s="182" t="s">
        <v>14</v>
      </c>
      <c r="F56" s="183">
        <v>9</v>
      </c>
      <c r="G56" s="166">
        <v>1129</v>
      </c>
      <c r="H56" s="167">
        <f t="shared" si="5"/>
        <v>1.7695680965781104</v>
      </c>
      <c r="I56" s="167">
        <f t="shared" si="1"/>
        <v>0.49117878822913336</v>
      </c>
      <c r="J56" s="168">
        <f t="shared" si="2"/>
        <v>554.54085191069157</v>
      </c>
      <c r="K56" s="169">
        <f t="shared" si="11"/>
        <v>1997.8423810366867</v>
      </c>
      <c r="L56" s="170">
        <f t="shared" si="12"/>
        <v>-1443.3015291259951</v>
      </c>
      <c r="M56" s="171">
        <f t="shared" si="7"/>
        <v>-115.67669489188181</v>
      </c>
      <c r="N56" s="172">
        <f t="shared" si="8"/>
        <v>-1558.978224017877</v>
      </c>
      <c r="O56" s="171">
        <v>0</v>
      </c>
      <c r="P56" s="171">
        <v>0</v>
      </c>
      <c r="Q56" s="171">
        <v>0</v>
      </c>
      <c r="R56" s="172">
        <f t="shared" si="9"/>
        <v>-1558.978224017877</v>
      </c>
    </row>
    <row r="57" spans="1:18" x14ac:dyDescent="0.25">
      <c r="A57" s="129">
        <v>2</v>
      </c>
      <c r="B57" s="164">
        <f t="shared" si="4"/>
        <v>45323</v>
      </c>
      <c r="C57" s="184">
        <f t="shared" si="18"/>
        <v>45356</v>
      </c>
      <c r="D57" s="184">
        <f t="shared" si="18"/>
        <v>45376</v>
      </c>
      <c r="E57" s="173" t="s">
        <v>14</v>
      </c>
      <c r="F57" s="129">
        <v>9</v>
      </c>
      <c r="G57" s="166">
        <v>739</v>
      </c>
      <c r="H57" s="167">
        <f t="shared" si="5"/>
        <v>1.7695680965781104</v>
      </c>
      <c r="I57" s="167">
        <f t="shared" si="1"/>
        <v>0.49117878822913336</v>
      </c>
      <c r="J57" s="168">
        <f t="shared" si="2"/>
        <v>362.98112450132953</v>
      </c>
      <c r="K57" s="169">
        <f t="shared" si="11"/>
        <v>1307.7108233712236</v>
      </c>
      <c r="L57" s="170">
        <f t="shared" si="12"/>
        <v>-944.72969886989404</v>
      </c>
      <c r="M57" s="171">
        <f t="shared" si="7"/>
        <v>-75.717517737024494</v>
      </c>
      <c r="N57" s="172">
        <f t="shared" si="8"/>
        <v>-1020.4472166069186</v>
      </c>
      <c r="O57" s="171">
        <v>0</v>
      </c>
      <c r="P57" s="171">
        <v>0</v>
      </c>
      <c r="Q57" s="171">
        <v>0</v>
      </c>
      <c r="R57" s="172">
        <f t="shared" si="9"/>
        <v>-1020.4472166069186</v>
      </c>
    </row>
    <row r="58" spans="1:18" x14ac:dyDescent="0.25">
      <c r="A58" s="129">
        <v>3</v>
      </c>
      <c r="B58" s="164">
        <f t="shared" si="4"/>
        <v>45352</v>
      </c>
      <c r="C58" s="184">
        <f t="shared" si="18"/>
        <v>45385</v>
      </c>
      <c r="D58" s="184">
        <f t="shared" si="18"/>
        <v>45406</v>
      </c>
      <c r="E58" s="173" t="s">
        <v>14</v>
      </c>
      <c r="F58" s="129">
        <v>9</v>
      </c>
      <c r="G58" s="166">
        <v>642</v>
      </c>
      <c r="H58" s="167">
        <f t="shared" si="5"/>
        <v>1.7695680965781104</v>
      </c>
      <c r="I58" s="167">
        <f t="shared" si="1"/>
        <v>0.49117878822913336</v>
      </c>
      <c r="J58" s="168">
        <f t="shared" si="2"/>
        <v>315.3367820431036</v>
      </c>
      <c r="K58" s="169">
        <f t="shared" si="11"/>
        <v>1136.062718003147</v>
      </c>
      <c r="L58" s="170">
        <f>+J58-K58</f>
        <v>-820.72593596004344</v>
      </c>
      <c r="M58" s="171">
        <f t="shared" si="7"/>
        <v>-65.778953162611259</v>
      </c>
      <c r="N58" s="172">
        <f t="shared" si="8"/>
        <v>-886.50488912265473</v>
      </c>
      <c r="O58" s="171">
        <v>0</v>
      </c>
      <c r="P58" s="171">
        <v>0</v>
      </c>
      <c r="Q58" s="171">
        <v>0</v>
      </c>
      <c r="R58" s="172">
        <f t="shared" si="9"/>
        <v>-886.50488912265473</v>
      </c>
    </row>
    <row r="59" spans="1:18" x14ac:dyDescent="0.25">
      <c r="A59" s="93">
        <v>4</v>
      </c>
      <c r="B59" s="164">
        <f t="shared" si="4"/>
        <v>45383</v>
      </c>
      <c r="C59" s="184">
        <f t="shared" si="18"/>
        <v>45415</v>
      </c>
      <c r="D59" s="184">
        <f t="shared" si="18"/>
        <v>45436</v>
      </c>
      <c r="E59" s="173" t="s">
        <v>14</v>
      </c>
      <c r="F59" s="129">
        <v>9</v>
      </c>
      <c r="G59" s="166">
        <v>581</v>
      </c>
      <c r="H59" s="167">
        <f t="shared" si="5"/>
        <v>1.7695680965781104</v>
      </c>
      <c r="I59" s="167">
        <f t="shared" si="1"/>
        <v>0.49117878822913336</v>
      </c>
      <c r="J59" s="168">
        <f t="shared" si="2"/>
        <v>285.37487596112646</v>
      </c>
      <c r="K59" s="169">
        <f t="shared" si="11"/>
        <v>1028.1190641118822</v>
      </c>
      <c r="L59" s="170">
        <f t="shared" ref="L59:L81" si="19">+J59-K59</f>
        <v>-742.74418815075569</v>
      </c>
      <c r="M59" s="171">
        <f t="shared" si="7"/>
        <v>-59.528928017877178</v>
      </c>
      <c r="N59" s="172">
        <f t="shared" si="8"/>
        <v>-802.2731161686329</v>
      </c>
      <c r="O59" s="171">
        <v>0</v>
      </c>
      <c r="P59" s="171">
        <v>0</v>
      </c>
      <c r="Q59" s="171">
        <v>0</v>
      </c>
      <c r="R59" s="172">
        <f t="shared" si="9"/>
        <v>-802.2731161686329</v>
      </c>
    </row>
    <row r="60" spans="1:18" x14ac:dyDescent="0.25">
      <c r="A60" s="129">
        <v>5</v>
      </c>
      <c r="B60" s="164">
        <f t="shared" si="4"/>
        <v>45413</v>
      </c>
      <c r="C60" s="184">
        <f t="shared" si="18"/>
        <v>45448</v>
      </c>
      <c r="D60" s="184">
        <f t="shared" si="18"/>
        <v>45467</v>
      </c>
      <c r="E60" s="52" t="s">
        <v>14</v>
      </c>
      <c r="F60" s="129">
        <v>9</v>
      </c>
      <c r="G60" s="166">
        <v>753</v>
      </c>
      <c r="H60" s="167">
        <f t="shared" si="5"/>
        <v>1.7695680965781104</v>
      </c>
      <c r="I60" s="167">
        <f t="shared" si="1"/>
        <v>0.49117878822913336</v>
      </c>
      <c r="J60" s="168">
        <f t="shared" si="2"/>
        <v>369.85762753653739</v>
      </c>
      <c r="K60" s="169">
        <f t="shared" si="11"/>
        <v>1332.4847767233171</v>
      </c>
      <c r="L60" s="170">
        <f t="shared" si="19"/>
        <v>-962.62714918677966</v>
      </c>
      <c r="M60" s="171">
        <f t="shared" si="7"/>
        <v>-77.151949737455269</v>
      </c>
      <c r="N60" s="172">
        <f t="shared" si="8"/>
        <v>-1039.7790989242349</v>
      </c>
      <c r="O60" s="171">
        <v>0</v>
      </c>
      <c r="P60" s="171">
        <v>0</v>
      </c>
      <c r="Q60" s="171">
        <v>0</v>
      </c>
      <c r="R60" s="172">
        <f t="shared" si="9"/>
        <v>-1039.7790989242349</v>
      </c>
    </row>
    <row r="61" spans="1:18" x14ac:dyDescent="0.25">
      <c r="A61" s="129">
        <v>6</v>
      </c>
      <c r="B61" s="164">
        <f t="shared" si="4"/>
        <v>45444</v>
      </c>
      <c r="C61" s="184">
        <f t="shared" si="18"/>
        <v>45476</v>
      </c>
      <c r="D61" s="184">
        <f t="shared" si="18"/>
        <v>45497</v>
      </c>
      <c r="E61" s="52" t="s">
        <v>14</v>
      </c>
      <c r="F61" s="129">
        <v>9</v>
      </c>
      <c r="G61" s="166">
        <v>1001</v>
      </c>
      <c r="H61" s="167">
        <f t="shared" si="5"/>
        <v>1.7695680965781104</v>
      </c>
      <c r="I61" s="167">
        <f t="shared" si="1"/>
        <v>0.49117878822913336</v>
      </c>
      <c r="J61" s="168">
        <f t="shared" si="2"/>
        <v>491.66996701736247</v>
      </c>
      <c r="K61" s="169">
        <f t="shared" si="11"/>
        <v>1771.3376646746885</v>
      </c>
      <c r="L61" s="174">
        <f t="shared" si="19"/>
        <v>-1279.667697657326</v>
      </c>
      <c r="M61" s="171">
        <f t="shared" si="7"/>
        <v>-102.56188803080043</v>
      </c>
      <c r="N61" s="172">
        <f t="shared" si="8"/>
        <v>-1382.2295856881265</v>
      </c>
      <c r="O61" s="171">
        <v>0</v>
      </c>
      <c r="P61" s="171">
        <v>0</v>
      </c>
      <c r="Q61" s="171">
        <v>0</v>
      </c>
      <c r="R61" s="172">
        <f t="shared" si="9"/>
        <v>-1382.2295856881265</v>
      </c>
    </row>
    <row r="62" spans="1:18" x14ac:dyDescent="0.25">
      <c r="A62" s="93">
        <v>7</v>
      </c>
      <c r="B62" s="164">
        <f t="shared" si="4"/>
        <v>45474</v>
      </c>
      <c r="C62" s="184">
        <f t="shared" si="18"/>
        <v>45509</v>
      </c>
      <c r="D62" s="184">
        <f t="shared" si="18"/>
        <v>45530</v>
      </c>
      <c r="E62" s="52" t="s">
        <v>14</v>
      </c>
      <c r="F62" s="129">
        <v>9</v>
      </c>
      <c r="G62" s="166">
        <v>961</v>
      </c>
      <c r="H62" s="167">
        <f t="shared" si="5"/>
        <v>1.7695680965781104</v>
      </c>
      <c r="I62" s="167">
        <f t="shared" si="1"/>
        <v>0.49117878822913336</v>
      </c>
      <c r="J62" s="168">
        <f t="shared" si="2"/>
        <v>472.02281548819718</v>
      </c>
      <c r="K62" s="175">
        <f t="shared" si="11"/>
        <v>1700.5549408115642</v>
      </c>
      <c r="L62" s="174">
        <f t="shared" si="19"/>
        <v>-1228.5321253233669</v>
      </c>
      <c r="M62" s="171">
        <f t="shared" si="7"/>
        <v>-98.463510886712498</v>
      </c>
      <c r="N62" s="172">
        <f t="shared" si="8"/>
        <v>-1326.9956362100795</v>
      </c>
      <c r="O62" s="171">
        <v>0</v>
      </c>
      <c r="P62" s="171">
        <v>0</v>
      </c>
      <c r="Q62" s="171">
        <v>0</v>
      </c>
      <c r="R62" s="172">
        <f t="shared" si="9"/>
        <v>-1326.9956362100795</v>
      </c>
    </row>
    <row r="63" spans="1:18" x14ac:dyDescent="0.25">
      <c r="A63" s="129">
        <v>8</v>
      </c>
      <c r="B63" s="164">
        <f t="shared" si="4"/>
        <v>45505</v>
      </c>
      <c r="C63" s="184">
        <f t="shared" si="18"/>
        <v>45539</v>
      </c>
      <c r="D63" s="184">
        <f t="shared" si="18"/>
        <v>45559</v>
      </c>
      <c r="E63" s="52" t="s">
        <v>14</v>
      </c>
      <c r="F63" s="129">
        <v>9</v>
      </c>
      <c r="G63" s="166">
        <v>1017</v>
      </c>
      <c r="H63" s="167">
        <f t="shared" si="5"/>
        <v>1.7695680965781104</v>
      </c>
      <c r="I63" s="167">
        <f t="shared" si="1"/>
        <v>0.49117878822913336</v>
      </c>
      <c r="J63" s="168">
        <f t="shared" si="2"/>
        <v>499.52882762902863</v>
      </c>
      <c r="K63" s="175">
        <f t="shared" si="11"/>
        <v>1799.6507542199383</v>
      </c>
      <c r="L63" s="174">
        <f t="shared" si="19"/>
        <v>-1300.1219265909097</v>
      </c>
      <c r="M63" s="171">
        <f t="shared" si="7"/>
        <v>-104.20123888843561</v>
      </c>
      <c r="N63" s="172">
        <f t="shared" si="8"/>
        <v>-1404.3231654793453</v>
      </c>
      <c r="O63" s="171">
        <v>0</v>
      </c>
      <c r="P63" s="171">
        <v>0</v>
      </c>
      <c r="Q63" s="171">
        <v>0</v>
      </c>
      <c r="R63" s="172">
        <f t="shared" si="9"/>
        <v>-1404.3231654793453</v>
      </c>
    </row>
    <row r="64" spans="1:18" x14ac:dyDescent="0.25">
      <c r="A64" s="129">
        <v>9</v>
      </c>
      <c r="B64" s="164">
        <f t="shared" si="4"/>
        <v>45536</v>
      </c>
      <c r="C64" s="184">
        <f t="shared" si="18"/>
        <v>45568</v>
      </c>
      <c r="D64" s="184">
        <f t="shared" si="18"/>
        <v>45589</v>
      </c>
      <c r="E64" s="52" t="s">
        <v>14</v>
      </c>
      <c r="F64" s="129">
        <v>9</v>
      </c>
      <c r="G64" s="166">
        <v>856</v>
      </c>
      <c r="H64" s="167">
        <f t="shared" si="5"/>
        <v>1.7695680965781104</v>
      </c>
      <c r="I64" s="167">
        <f t="shared" ref="I64:I107" si="20">$J$3</f>
        <v>0.49117878822913336</v>
      </c>
      <c r="J64" s="168">
        <f t="shared" si="2"/>
        <v>420.44904272413817</v>
      </c>
      <c r="K64" s="175">
        <f t="shared" si="11"/>
        <v>1514.7502906708626</v>
      </c>
      <c r="L64" s="174">
        <f t="shared" si="19"/>
        <v>-1094.3012479467243</v>
      </c>
      <c r="M64" s="171">
        <f t="shared" si="7"/>
        <v>-87.705270883481688</v>
      </c>
      <c r="N64" s="172">
        <f t="shared" si="8"/>
        <v>-1182.006518830206</v>
      </c>
      <c r="O64" s="171">
        <v>0</v>
      </c>
      <c r="P64" s="171">
        <v>0</v>
      </c>
      <c r="Q64" s="171">
        <v>0</v>
      </c>
      <c r="R64" s="172">
        <f t="shared" si="9"/>
        <v>-1182.006518830206</v>
      </c>
    </row>
    <row r="65" spans="1:18" x14ac:dyDescent="0.25">
      <c r="A65" s="93">
        <v>10</v>
      </c>
      <c r="B65" s="164">
        <f t="shared" si="4"/>
        <v>45566</v>
      </c>
      <c r="C65" s="184">
        <f t="shared" si="18"/>
        <v>45601</v>
      </c>
      <c r="D65" s="184">
        <f t="shared" si="18"/>
        <v>45621</v>
      </c>
      <c r="E65" s="52" t="s">
        <v>14</v>
      </c>
      <c r="F65" s="129">
        <v>9</v>
      </c>
      <c r="G65" s="166">
        <v>786</v>
      </c>
      <c r="H65" s="167">
        <f t="shared" si="5"/>
        <v>1.7695680965781104</v>
      </c>
      <c r="I65" s="167">
        <f t="shared" si="20"/>
        <v>0.49117878822913336</v>
      </c>
      <c r="J65" s="168">
        <f t="shared" si="2"/>
        <v>386.0665275480988</v>
      </c>
      <c r="K65" s="175">
        <f t="shared" si="11"/>
        <v>1390.8805239103947</v>
      </c>
      <c r="L65" s="174">
        <f t="shared" si="19"/>
        <v>-1004.8139963622959</v>
      </c>
      <c r="M65" s="171">
        <f t="shared" si="7"/>
        <v>-80.533110881327815</v>
      </c>
      <c r="N65" s="172">
        <f t="shared" si="8"/>
        <v>-1085.3471072436237</v>
      </c>
      <c r="O65" s="171">
        <v>0</v>
      </c>
      <c r="P65" s="171">
        <v>0</v>
      </c>
      <c r="Q65" s="171">
        <v>0</v>
      </c>
      <c r="R65" s="172">
        <f t="shared" si="9"/>
        <v>-1085.3471072436237</v>
      </c>
    </row>
    <row r="66" spans="1:18" x14ac:dyDescent="0.25">
      <c r="A66" s="129">
        <v>11</v>
      </c>
      <c r="B66" s="164">
        <f t="shared" si="4"/>
        <v>45597</v>
      </c>
      <c r="C66" s="184">
        <f t="shared" si="18"/>
        <v>45630</v>
      </c>
      <c r="D66" s="184">
        <f t="shared" si="18"/>
        <v>45650</v>
      </c>
      <c r="E66" s="52" t="s">
        <v>14</v>
      </c>
      <c r="F66" s="129">
        <v>9</v>
      </c>
      <c r="G66" s="166">
        <v>463</v>
      </c>
      <c r="H66" s="167">
        <f t="shared" si="5"/>
        <v>1.7695680965781104</v>
      </c>
      <c r="I66" s="167">
        <f t="shared" si="20"/>
        <v>0.49117878822913336</v>
      </c>
      <c r="J66" s="168">
        <f t="shared" si="2"/>
        <v>227.41577895008874</v>
      </c>
      <c r="K66" s="175">
        <f t="shared" si="11"/>
        <v>819.31002871566511</v>
      </c>
      <c r="L66" s="174">
        <f t="shared" si="19"/>
        <v>-591.89424976557643</v>
      </c>
      <c r="M66" s="171">
        <f t="shared" si="7"/>
        <v>-47.438715442817788</v>
      </c>
      <c r="N66" s="172">
        <f t="shared" si="8"/>
        <v>-639.33296520839417</v>
      </c>
      <c r="O66" s="171">
        <v>0</v>
      </c>
      <c r="P66" s="171">
        <v>0</v>
      </c>
      <c r="Q66" s="171">
        <v>0</v>
      </c>
      <c r="R66" s="172">
        <f t="shared" si="9"/>
        <v>-639.33296520839417</v>
      </c>
    </row>
    <row r="67" spans="1:18" s="188" customFormat="1" x14ac:dyDescent="0.25">
      <c r="A67" s="129">
        <v>12</v>
      </c>
      <c r="B67" s="186">
        <f t="shared" si="4"/>
        <v>45627</v>
      </c>
      <c r="C67" s="184">
        <f t="shared" si="18"/>
        <v>45660</v>
      </c>
      <c r="D67" s="184">
        <f t="shared" si="18"/>
        <v>45681</v>
      </c>
      <c r="E67" s="187" t="s">
        <v>14</v>
      </c>
      <c r="F67" s="140">
        <v>9</v>
      </c>
      <c r="G67" s="166">
        <v>725</v>
      </c>
      <c r="H67" s="176">
        <f t="shared" si="5"/>
        <v>1.7695680965781104</v>
      </c>
      <c r="I67" s="176">
        <f t="shared" si="20"/>
        <v>0.49117878822913336</v>
      </c>
      <c r="J67" s="177">
        <f t="shared" si="2"/>
        <v>356.10462146612167</v>
      </c>
      <c r="K67" s="178">
        <f t="shared" si="11"/>
        <v>1282.9368700191301</v>
      </c>
      <c r="L67" s="179">
        <f t="shared" si="19"/>
        <v>-926.83224855300841</v>
      </c>
      <c r="M67" s="171">
        <f t="shared" si="7"/>
        <v>-74.283085736593719</v>
      </c>
      <c r="N67" s="172">
        <f t="shared" si="8"/>
        <v>-1001.1153342896022</v>
      </c>
      <c r="O67" s="171">
        <v>0</v>
      </c>
      <c r="P67" s="171">
        <v>0</v>
      </c>
      <c r="Q67" s="171">
        <v>0</v>
      </c>
      <c r="R67" s="172">
        <f t="shared" si="9"/>
        <v>-1001.1153342896022</v>
      </c>
    </row>
    <row r="68" spans="1:18" x14ac:dyDescent="0.25">
      <c r="A68" s="93">
        <v>1</v>
      </c>
      <c r="B68" s="164">
        <f t="shared" si="4"/>
        <v>45292</v>
      </c>
      <c r="C68" s="181">
        <f t="shared" ref="C68:D79" si="21">+C56</f>
        <v>45327</v>
      </c>
      <c r="D68" s="181">
        <f t="shared" si="21"/>
        <v>45348</v>
      </c>
      <c r="E68" s="165" t="s">
        <v>85</v>
      </c>
      <c r="F68" s="93">
        <v>9</v>
      </c>
      <c r="G68" s="166">
        <v>58</v>
      </c>
      <c r="H68" s="167">
        <f t="shared" si="5"/>
        <v>1.7695680965781104</v>
      </c>
      <c r="I68" s="167">
        <f t="shared" si="20"/>
        <v>0.49117878822913336</v>
      </c>
      <c r="J68" s="168">
        <f t="shared" si="2"/>
        <v>28.488369717289736</v>
      </c>
      <c r="K68" s="169">
        <f t="shared" si="11"/>
        <v>102.63494960153041</v>
      </c>
      <c r="L68" s="170">
        <f t="shared" si="19"/>
        <v>-74.14657988424068</v>
      </c>
      <c r="M68" s="171">
        <f t="shared" si="7"/>
        <v>-5.942646858927497</v>
      </c>
      <c r="N68" s="172">
        <f t="shared" si="8"/>
        <v>-80.089226743168183</v>
      </c>
      <c r="O68" s="171">
        <v>0</v>
      </c>
      <c r="P68" s="171">
        <v>0</v>
      </c>
      <c r="Q68" s="171">
        <v>0</v>
      </c>
      <c r="R68" s="172">
        <f t="shared" si="9"/>
        <v>-80.089226743168183</v>
      </c>
    </row>
    <row r="69" spans="1:18" x14ac:dyDescent="0.25">
      <c r="A69" s="129">
        <v>2</v>
      </c>
      <c r="B69" s="164">
        <f t="shared" si="4"/>
        <v>45323</v>
      </c>
      <c r="C69" s="184">
        <f t="shared" si="21"/>
        <v>45356</v>
      </c>
      <c r="D69" s="184">
        <f t="shared" si="21"/>
        <v>45376</v>
      </c>
      <c r="E69" s="173" t="s">
        <v>85</v>
      </c>
      <c r="F69" s="129">
        <v>9</v>
      </c>
      <c r="G69" s="166">
        <v>36</v>
      </c>
      <c r="H69" s="167">
        <f t="shared" si="5"/>
        <v>1.7695680965781104</v>
      </c>
      <c r="I69" s="167">
        <f t="shared" si="20"/>
        <v>0.49117878822913336</v>
      </c>
      <c r="J69" s="168">
        <f t="shared" si="2"/>
        <v>17.682436376248802</v>
      </c>
      <c r="K69" s="169">
        <f t="shared" si="11"/>
        <v>63.704451476811975</v>
      </c>
      <c r="L69" s="170">
        <f t="shared" si="19"/>
        <v>-46.022015100563173</v>
      </c>
      <c r="M69" s="171">
        <f t="shared" si="7"/>
        <v>-3.6885394296791367</v>
      </c>
      <c r="N69" s="172">
        <f t="shared" si="8"/>
        <v>-49.710554530242312</v>
      </c>
      <c r="O69" s="171">
        <v>0</v>
      </c>
      <c r="P69" s="171">
        <v>0</v>
      </c>
      <c r="Q69" s="171">
        <v>0</v>
      </c>
      <c r="R69" s="172">
        <f t="shared" si="9"/>
        <v>-49.710554530242312</v>
      </c>
    </row>
    <row r="70" spans="1:18" x14ac:dyDescent="0.25">
      <c r="A70" s="129">
        <v>3</v>
      </c>
      <c r="B70" s="164">
        <f t="shared" si="4"/>
        <v>45352</v>
      </c>
      <c r="C70" s="184">
        <f t="shared" si="21"/>
        <v>45385</v>
      </c>
      <c r="D70" s="184">
        <f t="shared" si="21"/>
        <v>45406</v>
      </c>
      <c r="E70" s="173" t="s">
        <v>85</v>
      </c>
      <c r="F70" s="129">
        <v>9</v>
      </c>
      <c r="G70" s="166">
        <v>29</v>
      </c>
      <c r="H70" s="167">
        <f t="shared" si="5"/>
        <v>1.7695680965781104</v>
      </c>
      <c r="I70" s="167">
        <f t="shared" si="20"/>
        <v>0.49117878822913336</v>
      </c>
      <c r="J70" s="168">
        <f t="shared" si="2"/>
        <v>14.244184858644868</v>
      </c>
      <c r="K70" s="169">
        <f t="shared" si="11"/>
        <v>51.317474800765204</v>
      </c>
      <c r="L70" s="170">
        <f>+J70-K70</f>
        <v>-37.07328994212034</v>
      </c>
      <c r="M70" s="171">
        <f t="shared" si="7"/>
        <v>-2.9713234294637485</v>
      </c>
      <c r="N70" s="172">
        <f t="shared" si="8"/>
        <v>-40.044613371584092</v>
      </c>
      <c r="O70" s="171">
        <v>0</v>
      </c>
      <c r="P70" s="171">
        <v>0</v>
      </c>
      <c r="Q70" s="171">
        <v>0</v>
      </c>
      <c r="R70" s="172">
        <f t="shared" si="9"/>
        <v>-40.044613371584092</v>
      </c>
    </row>
    <row r="71" spans="1:18" x14ac:dyDescent="0.25">
      <c r="A71" s="93">
        <v>4</v>
      </c>
      <c r="B71" s="164">
        <f t="shared" si="4"/>
        <v>45383</v>
      </c>
      <c r="C71" s="184">
        <f t="shared" si="21"/>
        <v>45415</v>
      </c>
      <c r="D71" s="184">
        <f t="shared" si="21"/>
        <v>45436</v>
      </c>
      <c r="E71" s="173" t="s">
        <v>85</v>
      </c>
      <c r="F71" s="129">
        <v>9</v>
      </c>
      <c r="G71" s="166">
        <v>27</v>
      </c>
      <c r="H71" s="167">
        <f t="shared" si="5"/>
        <v>1.7695680965781104</v>
      </c>
      <c r="I71" s="167">
        <f t="shared" si="20"/>
        <v>0.49117878822913336</v>
      </c>
      <c r="J71" s="168">
        <f t="shared" si="2"/>
        <v>13.261827282186601</v>
      </c>
      <c r="K71" s="169">
        <f t="shared" si="11"/>
        <v>47.77833860760898</v>
      </c>
      <c r="L71" s="170">
        <f t="shared" ref="L71:L79" si="22">+J71-K71</f>
        <v>-34.516511325422378</v>
      </c>
      <c r="M71" s="171">
        <f t="shared" si="7"/>
        <v>-2.7664045722593524</v>
      </c>
      <c r="N71" s="172">
        <f t="shared" si="8"/>
        <v>-37.282915897681733</v>
      </c>
      <c r="O71" s="171">
        <v>0</v>
      </c>
      <c r="P71" s="171">
        <v>0</v>
      </c>
      <c r="Q71" s="171">
        <v>0</v>
      </c>
      <c r="R71" s="172">
        <f t="shared" si="9"/>
        <v>-37.282915897681733</v>
      </c>
    </row>
    <row r="72" spans="1:18" x14ac:dyDescent="0.25">
      <c r="A72" s="129">
        <v>5</v>
      </c>
      <c r="B72" s="164">
        <f t="shared" si="4"/>
        <v>45413</v>
      </c>
      <c r="C72" s="184">
        <f t="shared" si="21"/>
        <v>45448</v>
      </c>
      <c r="D72" s="184">
        <f t="shared" si="21"/>
        <v>45467</v>
      </c>
      <c r="E72" s="173" t="s">
        <v>85</v>
      </c>
      <c r="F72" s="129">
        <v>9</v>
      </c>
      <c r="G72" s="166">
        <v>36</v>
      </c>
      <c r="H72" s="167">
        <f t="shared" si="5"/>
        <v>1.7695680965781104</v>
      </c>
      <c r="I72" s="167">
        <f t="shared" si="20"/>
        <v>0.49117878822913336</v>
      </c>
      <c r="J72" s="168">
        <f t="shared" si="2"/>
        <v>17.682436376248802</v>
      </c>
      <c r="K72" s="169">
        <f t="shared" si="11"/>
        <v>63.704451476811975</v>
      </c>
      <c r="L72" s="170">
        <f t="shared" si="22"/>
        <v>-46.022015100563173</v>
      </c>
      <c r="M72" s="171">
        <f t="shared" si="7"/>
        <v>-3.6885394296791367</v>
      </c>
      <c r="N72" s="172">
        <f t="shared" si="8"/>
        <v>-49.710554530242312</v>
      </c>
      <c r="O72" s="171">
        <v>0</v>
      </c>
      <c r="P72" s="171">
        <v>0</v>
      </c>
      <c r="Q72" s="171">
        <v>0</v>
      </c>
      <c r="R72" s="172">
        <f t="shared" si="9"/>
        <v>-49.710554530242312</v>
      </c>
    </row>
    <row r="73" spans="1:18" x14ac:dyDescent="0.25">
      <c r="A73" s="129">
        <v>6</v>
      </c>
      <c r="B73" s="164">
        <f t="shared" si="4"/>
        <v>45444</v>
      </c>
      <c r="C73" s="184">
        <f t="shared" si="21"/>
        <v>45476</v>
      </c>
      <c r="D73" s="184">
        <f t="shared" si="21"/>
        <v>45497</v>
      </c>
      <c r="E73" s="173" t="s">
        <v>85</v>
      </c>
      <c r="F73" s="129">
        <v>9</v>
      </c>
      <c r="G73" s="166">
        <v>53</v>
      </c>
      <c r="H73" s="167">
        <f t="shared" si="5"/>
        <v>1.7695680965781104</v>
      </c>
      <c r="I73" s="167">
        <f t="shared" si="20"/>
        <v>0.49117878822913336</v>
      </c>
      <c r="J73" s="168">
        <f t="shared" si="2"/>
        <v>26.032475776144068</v>
      </c>
      <c r="K73" s="169">
        <f t="shared" si="11"/>
        <v>93.787109118639847</v>
      </c>
      <c r="L73" s="174">
        <f t="shared" si="22"/>
        <v>-67.754633342495779</v>
      </c>
      <c r="M73" s="171">
        <f t="shared" si="7"/>
        <v>-5.4303497159165071</v>
      </c>
      <c r="N73" s="172">
        <f t="shared" si="8"/>
        <v>-73.184983058412286</v>
      </c>
      <c r="O73" s="171">
        <v>0</v>
      </c>
      <c r="P73" s="171">
        <v>0</v>
      </c>
      <c r="Q73" s="171">
        <v>0</v>
      </c>
      <c r="R73" s="172">
        <f t="shared" si="9"/>
        <v>-73.184983058412286</v>
      </c>
    </row>
    <row r="74" spans="1:18" x14ac:dyDescent="0.25">
      <c r="A74" s="93">
        <v>7</v>
      </c>
      <c r="B74" s="164">
        <f t="shared" si="4"/>
        <v>45474</v>
      </c>
      <c r="C74" s="184">
        <f t="shared" si="21"/>
        <v>45509</v>
      </c>
      <c r="D74" s="184">
        <f t="shared" si="21"/>
        <v>45530</v>
      </c>
      <c r="E74" s="173" t="s">
        <v>85</v>
      </c>
      <c r="F74" s="129">
        <v>9</v>
      </c>
      <c r="G74" s="166">
        <v>53</v>
      </c>
      <c r="H74" s="167">
        <f t="shared" si="5"/>
        <v>1.7695680965781104</v>
      </c>
      <c r="I74" s="167">
        <f t="shared" si="20"/>
        <v>0.49117878822913336</v>
      </c>
      <c r="J74" s="168">
        <f t="shared" si="2"/>
        <v>26.032475776144068</v>
      </c>
      <c r="K74" s="175">
        <f t="shared" si="11"/>
        <v>93.787109118639847</v>
      </c>
      <c r="L74" s="174">
        <f t="shared" si="22"/>
        <v>-67.754633342495779</v>
      </c>
      <c r="M74" s="171">
        <f t="shared" si="7"/>
        <v>-5.4303497159165071</v>
      </c>
      <c r="N74" s="172">
        <f t="shared" si="8"/>
        <v>-73.184983058412286</v>
      </c>
      <c r="O74" s="171">
        <v>0</v>
      </c>
      <c r="P74" s="171">
        <v>0</v>
      </c>
      <c r="Q74" s="171">
        <v>0</v>
      </c>
      <c r="R74" s="172">
        <f t="shared" si="9"/>
        <v>-73.184983058412286</v>
      </c>
    </row>
    <row r="75" spans="1:18" x14ac:dyDescent="0.25">
      <c r="A75" s="129">
        <v>8</v>
      </c>
      <c r="B75" s="164">
        <f t="shared" si="4"/>
        <v>45505</v>
      </c>
      <c r="C75" s="184">
        <f t="shared" si="21"/>
        <v>45539</v>
      </c>
      <c r="D75" s="184">
        <f t="shared" si="21"/>
        <v>45559</v>
      </c>
      <c r="E75" s="173" t="s">
        <v>85</v>
      </c>
      <c r="F75" s="129">
        <v>9</v>
      </c>
      <c r="G75" s="166">
        <v>54</v>
      </c>
      <c r="H75" s="167">
        <f t="shared" si="5"/>
        <v>1.7695680965781104</v>
      </c>
      <c r="I75" s="167">
        <f t="shared" si="20"/>
        <v>0.49117878822913336</v>
      </c>
      <c r="J75" s="168">
        <f t="shared" si="2"/>
        <v>26.523654564373203</v>
      </c>
      <c r="K75" s="175">
        <f t="shared" si="11"/>
        <v>95.55667721521796</v>
      </c>
      <c r="L75" s="174">
        <f t="shared" si="22"/>
        <v>-69.033022650844757</v>
      </c>
      <c r="M75" s="171">
        <f t="shared" si="7"/>
        <v>-5.5328091445187049</v>
      </c>
      <c r="N75" s="172">
        <f t="shared" si="8"/>
        <v>-74.565831795363465</v>
      </c>
      <c r="O75" s="171">
        <v>0</v>
      </c>
      <c r="P75" s="171">
        <v>0</v>
      </c>
      <c r="Q75" s="171">
        <v>0</v>
      </c>
      <c r="R75" s="172">
        <f t="shared" si="9"/>
        <v>-74.565831795363465</v>
      </c>
    </row>
    <row r="76" spans="1:18" x14ac:dyDescent="0.25">
      <c r="A76" s="129">
        <v>9</v>
      </c>
      <c r="B76" s="164">
        <f t="shared" si="4"/>
        <v>45536</v>
      </c>
      <c r="C76" s="184">
        <f t="shared" si="21"/>
        <v>45568</v>
      </c>
      <c r="D76" s="184">
        <f t="shared" si="21"/>
        <v>45589</v>
      </c>
      <c r="E76" s="173" t="s">
        <v>85</v>
      </c>
      <c r="F76" s="129">
        <v>9</v>
      </c>
      <c r="G76" s="166">
        <v>48</v>
      </c>
      <c r="H76" s="167">
        <f t="shared" si="5"/>
        <v>1.7695680965781104</v>
      </c>
      <c r="I76" s="167">
        <f t="shared" si="20"/>
        <v>0.49117878822913336</v>
      </c>
      <c r="J76" s="168">
        <f t="shared" si="2"/>
        <v>23.5765818349984</v>
      </c>
      <c r="K76" s="175">
        <f t="shared" si="11"/>
        <v>84.939268635749301</v>
      </c>
      <c r="L76" s="174">
        <f t="shared" si="22"/>
        <v>-61.3626868007509</v>
      </c>
      <c r="M76" s="171">
        <f t="shared" si="7"/>
        <v>-4.9180525729055153</v>
      </c>
      <c r="N76" s="172">
        <f t="shared" si="8"/>
        <v>-66.280739373656417</v>
      </c>
      <c r="O76" s="171">
        <v>0</v>
      </c>
      <c r="P76" s="171">
        <v>0</v>
      </c>
      <c r="Q76" s="171">
        <v>0</v>
      </c>
      <c r="R76" s="172">
        <f t="shared" si="9"/>
        <v>-66.280739373656417</v>
      </c>
    </row>
    <row r="77" spans="1:18" x14ac:dyDescent="0.25">
      <c r="A77" s="93">
        <v>10</v>
      </c>
      <c r="B77" s="164">
        <f t="shared" si="4"/>
        <v>45566</v>
      </c>
      <c r="C77" s="184">
        <f t="shared" si="21"/>
        <v>45601</v>
      </c>
      <c r="D77" s="184">
        <f t="shared" si="21"/>
        <v>45621</v>
      </c>
      <c r="E77" s="173" t="s">
        <v>85</v>
      </c>
      <c r="F77" s="129">
        <v>9</v>
      </c>
      <c r="G77" s="166">
        <v>41</v>
      </c>
      <c r="H77" s="167">
        <f t="shared" si="5"/>
        <v>1.7695680965781104</v>
      </c>
      <c r="I77" s="167">
        <f t="shared" si="20"/>
        <v>0.49117878822913336</v>
      </c>
      <c r="J77" s="168">
        <f t="shared" si="2"/>
        <v>20.138330317394466</v>
      </c>
      <c r="K77" s="175">
        <f t="shared" si="11"/>
        <v>72.552291959702529</v>
      </c>
      <c r="L77" s="174">
        <f t="shared" si="22"/>
        <v>-52.413961642308067</v>
      </c>
      <c r="M77" s="171">
        <f t="shared" si="7"/>
        <v>-4.200836572690128</v>
      </c>
      <c r="N77" s="172">
        <f t="shared" si="8"/>
        <v>-56.614798214998196</v>
      </c>
      <c r="O77" s="171">
        <v>0</v>
      </c>
      <c r="P77" s="171">
        <v>0</v>
      </c>
      <c r="Q77" s="171">
        <v>0</v>
      </c>
      <c r="R77" s="172">
        <f t="shared" si="9"/>
        <v>-56.614798214998196</v>
      </c>
    </row>
    <row r="78" spans="1:18" x14ac:dyDescent="0.25">
      <c r="A78" s="129">
        <v>11</v>
      </c>
      <c r="B78" s="164">
        <f t="shared" si="4"/>
        <v>45597</v>
      </c>
      <c r="C78" s="184">
        <f t="shared" si="21"/>
        <v>45630</v>
      </c>
      <c r="D78" s="184">
        <f t="shared" si="21"/>
        <v>45650</v>
      </c>
      <c r="E78" s="173" t="s">
        <v>85</v>
      </c>
      <c r="F78" s="129">
        <v>9</v>
      </c>
      <c r="G78" s="166">
        <v>22</v>
      </c>
      <c r="H78" s="167">
        <f t="shared" si="5"/>
        <v>1.7695680965781104</v>
      </c>
      <c r="I78" s="167">
        <f t="shared" si="20"/>
        <v>0.49117878822913336</v>
      </c>
      <c r="J78" s="168">
        <f t="shared" si="2"/>
        <v>10.805933341040934</v>
      </c>
      <c r="K78" s="175">
        <f>+$G78*H78</f>
        <v>38.930498124718426</v>
      </c>
      <c r="L78" s="174">
        <f t="shared" si="22"/>
        <v>-28.124564783677492</v>
      </c>
      <c r="M78" s="171">
        <f t="shared" si="7"/>
        <v>-2.2541074292483612</v>
      </c>
      <c r="N78" s="172">
        <f t="shared" si="8"/>
        <v>-30.378672212925853</v>
      </c>
      <c r="O78" s="171">
        <v>0</v>
      </c>
      <c r="P78" s="171">
        <v>0</v>
      </c>
      <c r="Q78" s="171">
        <v>0</v>
      </c>
      <c r="R78" s="172">
        <f t="shared" si="9"/>
        <v>-30.378672212925853</v>
      </c>
    </row>
    <row r="79" spans="1:18" s="188" customFormat="1" x14ac:dyDescent="0.25">
      <c r="A79" s="129">
        <v>12</v>
      </c>
      <c r="B79" s="186">
        <f t="shared" si="4"/>
        <v>45627</v>
      </c>
      <c r="C79" s="189">
        <f t="shared" si="21"/>
        <v>45660</v>
      </c>
      <c r="D79" s="189">
        <f t="shared" si="21"/>
        <v>45681</v>
      </c>
      <c r="E79" s="190" t="s">
        <v>85</v>
      </c>
      <c r="F79" s="140">
        <v>9</v>
      </c>
      <c r="G79" s="166">
        <v>37</v>
      </c>
      <c r="H79" s="176">
        <f t="shared" si="5"/>
        <v>1.7695680965781104</v>
      </c>
      <c r="I79" s="176">
        <f t="shared" si="20"/>
        <v>0.49117878822913336</v>
      </c>
      <c r="J79" s="177">
        <f t="shared" si="2"/>
        <v>18.173615164477933</v>
      </c>
      <c r="K79" s="178">
        <f>+$G79*H79</f>
        <v>65.47401957339008</v>
      </c>
      <c r="L79" s="179">
        <f t="shared" si="22"/>
        <v>-47.300404408912144</v>
      </c>
      <c r="M79" s="171">
        <f t="shared" si="7"/>
        <v>-3.7909988582813345</v>
      </c>
      <c r="N79" s="172">
        <f t="shared" si="8"/>
        <v>-51.091403267193478</v>
      </c>
      <c r="O79" s="171">
        <v>0</v>
      </c>
      <c r="P79" s="171">
        <v>0</v>
      </c>
      <c r="Q79" s="171">
        <v>0</v>
      </c>
      <c r="R79" s="172">
        <f t="shared" si="9"/>
        <v>-51.091403267193478</v>
      </c>
    </row>
    <row r="80" spans="1:18" s="50" customFormat="1" ht="12.75" customHeight="1" x14ac:dyDescent="0.25">
      <c r="A80" s="93">
        <v>1</v>
      </c>
      <c r="B80" s="164">
        <f t="shared" si="4"/>
        <v>45292</v>
      </c>
      <c r="C80" s="181">
        <f t="shared" ref="C80:D91" si="23">+C56</f>
        <v>45327</v>
      </c>
      <c r="D80" s="181">
        <f t="shared" si="23"/>
        <v>45348</v>
      </c>
      <c r="E80" s="165" t="s">
        <v>9</v>
      </c>
      <c r="F80" s="93">
        <v>9</v>
      </c>
      <c r="G80" s="166">
        <v>75</v>
      </c>
      <c r="H80" s="167">
        <f t="shared" si="5"/>
        <v>1.7695680965781104</v>
      </c>
      <c r="I80" s="167">
        <f t="shared" si="20"/>
        <v>0.49117878822913336</v>
      </c>
      <c r="J80" s="168">
        <f t="shared" si="2"/>
        <v>36.838409117185002</v>
      </c>
      <c r="K80" s="169">
        <f t="shared" si="11"/>
        <v>132.71760724335829</v>
      </c>
      <c r="L80" s="170">
        <f t="shared" si="19"/>
        <v>-95.879198126173293</v>
      </c>
      <c r="M80" s="171">
        <f t="shared" si="7"/>
        <v>-7.6844571451648678</v>
      </c>
      <c r="N80" s="172">
        <f t="shared" si="8"/>
        <v>-103.56365527133816</v>
      </c>
      <c r="O80" s="171">
        <v>0</v>
      </c>
      <c r="P80" s="171">
        <v>0</v>
      </c>
      <c r="Q80" s="171">
        <v>0</v>
      </c>
      <c r="R80" s="172">
        <f t="shared" si="9"/>
        <v>-103.56365527133816</v>
      </c>
    </row>
    <row r="81" spans="1:18" x14ac:dyDescent="0.25">
      <c r="A81" s="129">
        <v>2</v>
      </c>
      <c r="B81" s="164">
        <f t="shared" si="4"/>
        <v>45323</v>
      </c>
      <c r="C81" s="184">
        <f t="shared" si="23"/>
        <v>45356</v>
      </c>
      <c r="D81" s="184">
        <f t="shared" si="23"/>
        <v>45376</v>
      </c>
      <c r="E81" s="173" t="s">
        <v>9</v>
      </c>
      <c r="F81" s="129">
        <v>9</v>
      </c>
      <c r="G81" s="166">
        <v>54</v>
      </c>
      <c r="H81" s="167">
        <f t="shared" si="5"/>
        <v>1.7695680965781104</v>
      </c>
      <c r="I81" s="167">
        <f t="shared" si="20"/>
        <v>0.49117878822913336</v>
      </c>
      <c r="J81" s="168">
        <f t="shared" si="2"/>
        <v>26.523654564373203</v>
      </c>
      <c r="K81" s="169">
        <f t="shared" si="11"/>
        <v>95.55667721521796</v>
      </c>
      <c r="L81" s="170">
        <f t="shared" si="19"/>
        <v>-69.033022650844757</v>
      </c>
      <c r="M81" s="171">
        <f t="shared" si="7"/>
        <v>-5.5328091445187049</v>
      </c>
      <c r="N81" s="172">
        <f t="shared" si="8"/>
        <v>-74.565831795363465</v>
      </c>
      <c r="O81" s="171">
        <v>0</v>
      </c>
      <c r="P81" s="171">
        <v>0</v>
      </c>
      <c r="Q81" s="171">
        <v>0</v>
      </c>
      <c r="R81" s="172">
        <f t="shared" si="9"/>
        <v>-74.565831795363465</v>
      </c>
    </row>
    <row r="82" spans="1:18" x14ac:dyDescent="0.25">
      <c r="A82" s="129">
        <v>3</v>
      </c>
      <c r="B82" s="164">
        <f t="shared" si="4"/>
        <v>45352</v>
      </c>
      <c r="C82" s="184">
        <f t="shared" si="23"/>
        <v>45385</v>
      </c>
      <c r="D82" s="184">
        <f t="shared" si="23"/>
        <v>45406</v>
      </c>
      <c r="E82" s="173" t="s">
        <v>9</v>
      </c>
      <c r="F82" s="129">
        <v>9</v>
      </c>
      <c r="G82" s="166">
        <v>49</v>
      </c>
      <c r="H82" s="167">
        <f t="shared" si="5"/>
        <v>1.7695680965781104</v>
      </c>
      <c r="I82" s="167">
        <f t="shared" si="20"/>
        <v>0.49117878822913336</v>
      </c>
      <c r="J82" s="168">
        <f t="shared" si="2"/>
        <v>24.067760623227535</v>
      </c>
      <c r="K82" s="169">
        <f t="shared" si="11"/>
        <v>86.708836732327413</v>
      </c>
      <c r="L82" s="170">
        <f>+J82-K82</f>
        <v>-62.641076109099878</v>
      </c>
      <c r="M82" s="171">
        <f t="shared" si="7"/>
        <v>-5.020512001507714</v>
      </c>
      <c r="N82" s="172">
        <f t="shared" si="8"/>
        <v>-67.661588110607596</v>
      </c>
      <c r="O82" s="171">
        <v>0</v>
      </c>
      <c r="P82" s="171">
        <v>0</v>
      </c>
      <c r="Q82" s="171">
        <v>0</v>
      </c>
      <c r="R82" s="172">
        <f t="shared" si="9"/>
        <v>-67.661588110607596</v>
      </c>
    </row>
    <row r="83" spans="1:18" ht="12" customHeight="1" x14ac:dyDescent="0.25">
      <c r="A83" s="93">
        <v>4</v>
      </c>
      <c r="B83" s="164">
        <f t="shared" si="4"/>
        <v>45383</v>
      </c>
      <c r="C83" s="184">
        <f t="shared" si="23"/>
        <v>45415</v>
      </c>
      <c r="D83" s="184">
        <f t="shared" si="23"/>
        <v>45436</v>
      </c>
      <c r="E83" s="52" t="s">
        <v>9</v>
      </c>
      <c r="F83" s="129">
        <v>9</v>
      </c>
      <c r="G83" s="166">
        <v>43</v>
      </c>
      <c r="H83" s="167">
        <f t="shared" si="5"/>
        <v>1.7695680965781104</v>
      </c>
      <c r="I83" s="167">
        <f t="shared" si="20"/>
        <v>0.49117878822913336</v>
      </c>
      <c r="J83" s="168">
        <f t="shared" si="2"/>
        <v>21.120687893852736</v>
      </c>
      <c r="K83" s="169">
        <f t="shared" si="11"/>
        <v>76.091428152858754</v>
      </c>
      <c r="L83" s="170">
        <f t="shared" ref="L83:L93" si="24">+J83-K83</f>
        <v>-54.970740259006021</v>
      </c>
      <c r="M83" s="171">
        <f t="shared" si="7"/>
        <v>-4.4057554298945245</v>
      </c>
      <c r="N83" s="172">
        <f t="shared" si="8"/>
        <v>-59.376495688900548</v>
      </c>
      <c r="O83" s="171">
        <v>0</v>
      </c>
      <c r="P83" s="171">
        <v>0</v>
      </c>
      <c r="Q83" s="171">
        <v>0</v>
      </c>
      <c r="R83" s="172">
        <f t="shared" si="9"/>
        <v>-59.376495688900548</v>
      </c>
    </row>
    <row r="84" spans="1:18" ht="12" customHeight="1" x14ac:dyDescent="0.25">
      <c r="A84" s="129">
        <v>5</v>
      </c>
      <c r="B84" s="164">
        <f t="shared" si="4"/>
        <v>45413</v>
      </c>
      <c r="C84" s="184">
        <f t="shared" si="23"/>
        <v>45448</v>
      </c>
      <c r="D84" s="184">
        <f t="shared" si="23"/>
        <v>45467</v>
      </c>
      <c r="E84" s="52" t="s">
        <v>9</v>
      </c>
      <c r="F84" s="129">
        <v>9</v>
      </c>
      <c r="G84" s="166">
        <v>50</v>
      </c>
      <c r="H84" s="167">
        <f t="shared" si="5"/>
        <v>1.7695680965781104</v>
      </c>
      <c r="I84" s="167">
        <f t="shared" si="20"/>
        <v>0.49117878822913336</v>
      </c>
      <c r="J84" s="168">
        <f t="shared" si="2"/>
        <v>24.558939411456667</v>
      </c>
      <c r="K84" s="169">
        <f t="shared" si="11"/>
        <v>88.478404828905525</v>
      </c>
      <c r="L84" s="170">
        <f t="shared" si="24"/>
        <v>-63.919465417448862</v>
      </c>
      <c r="M84" s="171">
        <f t="shared" si="7"/>
        <v>-5.1229714301099119</v>
      </c>
      <c r="N84" s="172">
        <f t="shared" si="8"/>
        <v>-69.042436847558776</v>
      </c>
      <c r="O84" s="171">
        <v>0</v>
      </c>
      <c r="P84" s="171">
        <v>0</v>
      </c>
      <c r="Q84" s="171">
        <v>0</v>
      </c>
      <c r="R84" s="172">
        <f t="shared" si="9"/>
        <v>-69.042436847558776</v>
      </c>
    </row>
    <row r="85" spans="1:18" x14ac:dyDescent="0.25">
      <c r="A85" s="129">
        <v>6</v>
      </c>
      <c r="B85" s="164">
        <f t="shared" si="4"/>
        <v>45444</v>
      </c>
      <c r="C85" s="184">
        <f t="shared" si="23"/>
        <v>45476</v>
      </c>
      <c r="D85" s="184">
        <f t="shared" si="23"/>
        <v>45497</v>
      </c>
      <c r="E85" s="52" t="s">
        <v>9</v>
      </c>
      <c r="F85" s="129">
        <v>9</v>
      </c>
      <c r="G85" s="166">
        <v>59</v>
      </c>
      <c r="H85" s="167">
        <f t="shared" ref="H85:H148" si="25">+$K$3</f>
        <v>1.7695680965781104</v>
      </c>
      <c r="I85" s="167">
        <f t="shared" si="20"/>
        <v>0.49117878822913336</v>
      </c>
      <c r="J85" s="168">
        <f t="shared" si="2"/>
        <v>28.979548505518867</v>
      </c>
      <c r="K85" s="169">
        <f t="shared" si="11"/>
        <v>104.40451769810852</v>
      </c>
      <c r="L85" s="174">
        <f t="shared" si="24"/>
        <v>-75.424969192589657</v>
      </c>
      <c r="M85" s="171">
        <f t="shared" ref="M85:M148" si="26">G85/$G$212*$M$14</f>
        <v>-6.0451062875296957</v>
      </c>
      <c r="N85" s="172">
        <f t="shared" ref="N85:N148" si="27">SUM(L85:M85)</f>
        <v>-81.470075480119348</v>
      </c>
      <c r="O85" s="171">
        <v>0</v>
      </c>
      <c r="P85" s="171">
        <v>0</v>
      </c>
      <c r="Q85" s="171">
        <v>0</v>
      </c>
      <c r="R85" s="172">
        <f t="shared" ref="R85:R148" si="28">+N85-Q85</f>
        <v>-81.470075480119348</v>
      </c>
    </row>
    <row r="86" spans="1:18" x14ac:dyDescent="0.25">
      <c r="A86" s="93">
        <v>7</v>
      </c>
      <c r="B86" s="164">
        <f t="shared" si="4"/>
        <v>45474</v>
      </c>
      <c r="C86" s="184">
        <f t="shared" si="23"/>
        <v>45509</v>
      </c>
      <c r="D86" s="184">
        <f t="shared" si="23"/>
        <v>45530</v>
      </c>
      <c r="E86" s="52" t="s">
        <v>9</v>
      </c>
      <c r="F86" s="129">
        <v>9</v>
      </c>
      <c r="G86" s="166">
        <v>60</v>
      </c>
      <c r="H86" s="167">
        <f t="shared" si="25"/>
        <v>1.7695680965781104</v>
      </c>
      <c r="I86" s="167">
        <f t="shared" si="20"/>
        <v>0.49117878822913336</v>
      </c>
      <c r="J86" s="168">
        <f t="shared" si="2"/>
        <v>29.470727293748002</v>
      </c>
      <c r="K86" s="175">
        <f t="shared" si="11"/>
        <v>106.17408579468662</v>
      </c>
      <c r="L86" s="174">
        <f t="shared" si="24"/>
        <v>-76.70335850093862</v>
      </c>
      <c r="M86" s="171">
        <f t="shared" si="26"/>
        <v>-6.1475657161318944</v>
      </c>
      <c r="N86" s="172">
        <f t="shared" si="27"/>
        <v>-82.850924217070514</v>
      </c>
      <c r="O86" s="171">
        <v>0</v>
      </c>
      <c r="P86" s="171">
        <v>0</v>
      </c>
      <c r="Q86" s="171">
        <v>0</v>
      </c>
      <c r="R86" s="172">
        <f t="shared" si="28"/>
        <v>-82.850924217070514</v>
      </c>
    </row>
    <row r="87" spans="1:18" x14ac:dyDescent="0.25">
      <c r="A87" s="129">
        <v>8</v>
      </c>
      <c r="B87" s="164">
        <f t="shared" si="4"/>
        <v>45505</v>
      </c>
      <c r="C87" s="184">
        <f t="shared" si="23"/>
        <v>45539</v>
      </c>
      <c r="D87" s="184">
        <f t="shared" si="23"/>
        <v>45559</v>
      </c>
      <c r="E87" s="52" t="s">
        <v>9</v>
      </c>
      <c r="F87" s="129">
        <v>9</v>
      </c>
      <c r="G87" s="166">
        <v>56</v>
      </c>
      <c r="H87" s="167">
        <f t="shared" si="25"/>
        <v>1.7695680965781104</v>
      </c>
      <c r="I87" s="167">
        <f t="shared" si="20"/>
        <v>0.49117878822913336</v>
      </c>
      <c r="J87" s="168">
        <f t="shared" si="2"/>
        <v>27.506012140831469</v>
      </c>
      <c r="K87" s="175">
        <f t="shared" si="11"/>
        <v>99.095813408374184</v>
      </c>
      <c r="L87" s="174">
        <f t="shared" si="24"/>
        <v>-71.589801267542711</v>
      </c>
      <c r="M87" s="171">
        <f t="shared" si="26"/>
        <v>-5.7377280017231014</v>
      </c>
      <c r="N87" s="172">
        <f t="shared" si="27"/>
        <v>-77.32752926926581</v>
      </c>
      <c r="O87" s="171">
        <v>0</v>
      </c>
      <c r="P87" s="171">
        <v>0</v>
      </c>
      <c r="Q87" s="171">
        <v>0</v>
      </c>
      <c r="R87" s="172">
        <f t="shared" si="28"/>
        <v>-77.32752926926581</v>
      </c>
    </row>
    <row r="88" spans="1:18" x14ac:dyDescent="0.25">
      <c r="A88" s="129">
        <v>9</v>
      </c>
      <c r="B88" s="164">
        <f t="shared" si="4"/>
        <v>45536</v>
      </c>
      <c r="C88" s="184">
        <f t="shared" si="23"/>
        <v>45568</v>
      </c>
      <c r="D88" s="184">
        <f t="shared" si="23"/>
        <v>45589</v>
      </c>
      <c r="E88" s="52" t="s">
        <v>9</v>
      </c>
      <c r="F88" s="129">
        <v>9</v>
      </c>
      <c r="G88" s="166">
        <v>55</v>
      </c>
      <c r="H88" s="167">
        <f t="shared" si="25"/>
        <v>1.7695680965781104</v>
      </c>
      <c r="I88" s="167">
        <f t="shared" si="20"/>
        <v>0.49117878822913336</v>
      </c>
      <c r="J88" s="168">
        <f t="shared" si="2"/>
        <v>27.014833352602334</v>
      </c>
      <c r="K88" s="175">
        <f t="shared" si="11"/>
        <v>97.326245311796072</v>
      </c>
      <c r="L88" s="174">
        <f t="shared" si="24"/>
        <v>-70.311411959193734</v>
      </c>
      <c r="M88" s="171">
        <f t="shared" si="26"/>
        <v>-5.6352685731209027</v>
      </c>
      <c r="N88" s="172">
        <f t="shared" si="27"/>
        <v>-75.94668053231463</v>
      </c>
      <c r="O88" s="171">
        <v>0</v>
      </c>
      <c r="P88" s="171">
        <v>0</v>
      </c>
      <c r="Q88" s="171">
        <v>0</v>
      </c>
      <c r="R88" s="172">
        <f t="shared" si="28"/>
        <v>-75.94668053231463</v>
      </c>
    </row>
    <row r="89" spans="1:18" x14ac:dyDescent="0.25">
      <c r="A89" s="93">
        <v>10</v>
      </c>
      <c r="B89" s="164">
        <f t="shared" si="4"/>
        <v>45566</v>
      </c>
      <c r="C89" s="184">
        <f t="shared" si="23"/>
        <v>45601</v>
      </c>
      <c r="D89" s="184">
        <f t="shared" si="23"/>
        <v>45621</v>
      </c>
      <c r="E89" s="52" t="s">
        <v>9</v>
      </c>
      <c r="F89" s="129">
        <v>9</v>
      </c>
      <c r="G89" s="166">
        <v>51</v>
      </c>
      <c r="H89" s="167">
        <f t="shared" si="25"/>
        <v>1.7695680965781104</v>
      </c>
      <c r="I89" s="167">
        <f t="shared" si="20"/>
        <v>0.49117878822913336</v>
      </c>
      <c r="J89" s="168">
        <f t="shared" si="2"/>
        <v>25.050118199685802</v>
      </c>
      <c r="K89" s="175">
        <f t="shared" si="11"/>
        <v>90.247972925483637</v>
      </c>
      <c r="L89" s="174">
        <f t="shared" si="24"/>
        <v>-65.197854725797839</v>
      </c>
      <c r="M89" s="171">
        <f t="shared" si="26"/>
        <v>-5.2254308587121097</v>
      </c>
      <c r="N89" s="172">
        <f t="shared" si="27"/>
        <v>-70.423285584509955</v>
      </c>
      <c r="O89" s="171">
        <v>0</v>
      </c>
      <c r="P89" s="171">
        <v>0</v>
      </c>
      <c r="Q89" s="171">
        <v>0</v>
      </c>
      <c r="R89" s="172">
        <f t="shared" si="28"/>
        <v>-70.423285584509955</v>
      </c>
    </row>
    <row r="90" spans="1:18" x14ac:dyDescent="0.25">
      <c r="A90" s="129">
        <v>11</v>
      </c>
      <c r="B90" s="164">
        <f t="shared" si="4"/>
        <v>45597</v>
      </c>
      <c r="C90" s="184">
        <f t="shared" si="23"/>
        <v>45630</v>
      </c>
      <c r="D90" s="184">
        <f t="shared" si="23"/>
        <v>45650</v>
      </c>
      <c r="E90" s="52" t="s">
        <v>9</v>
      </c>
      <c r="F90" s="129">
        <v>9</v>
      </c>
      <c r="G90" s="166">
        <v>40</v>
      </c>
      <c r="H90" s="167">
        <f t="shared" si="25"/>
        <v>1.7695680965781104</v>
      </c>
      <c r="I90" s="167">
        <f t="shared" si="20"/>
        <v>0.49117878822913336</v>
      </c>
      <c r="J90" s="168">
        <f t="shared" si="2"/>
        <v>19.647151529165335</v>
      </c>
      <c r="K90" s="175">
        <f t="shared" si="11"/>
        <v>70.782723863124417</v>
      </c>
      <c r="L90" s="174">
        <f t="shared" si="24"/>
        <v>-51.135572333959082</v>
      </c>
      <c r="M90" s="171">
        <f t="shared" si="26"/>
        <v>-4.0983771440879293</v>
      </c>
      <c r="N90" s="172">
        <f t="shared" si="27"/>
        <v>-55.233949478047009</v>
      </c>
      <c r="O90" s="171">
        <v>0</v>
      </c>
      <c r="P90" s="171">
        <v>0</v>
      </c>
      <c r="Q90" s="171">
        <v>0</v>
      </c>
      <c r="R90" s="172">
        <f t="shared" si="28"/>
        <v>-55.233949478047009</v>
      </c>
    </row>
    <row r="91" spans="1:18" s="188" customFormat="1" x14ac:dyDescent="0.25">
      <c r="A91" s="129">
        <v>12</v>
      </c>
      <c r="B91" s="186">
        <f t="shared" si="4"/>
        <v>45627</v>
      </c>
      <c r="C91" s="184">
        <f t="shared" si="23"/>
        <v>45660</v>
      </c>
      <c r="D91" s="184">
        <f t="shared" si="23"/>
        <v>45681</v>
      </c>
      <c r="E91" s="187" t="s">
        <v>9</v>
      </c>
      <c r="F91" s="140">
        <v>9</v>
      </c>
      <c r="G91" s="166">
        <v>51</v>
      </c>
      <c r="H91" s="176">
        <f t="shared" si="25"/>
        <v>1.7695680965781104</v>
      </c>
      <c r="I91" s="176">
        <f t="shared" si="20"/>
        <v>0.49117878822913336</v>
      </c>
      <c r="J91" s="177">
        <f t="shared" si="2"/>
        <v>25.050118199685802</v>
      </c>
      <c r="K91" s="178">
        <f t="shared" si="11"/>
        <v>90.247972925483637</v>
      </c>
      <c r="L91" s="179">
        <f t="shared" si="24"/>
        <v>-65.197854725797839</v>
      </c>
      <c r="M91" s="171">
        <f t="shared" si="26"/>
        <v>-5.2254308587121097</v>
      </c>
      <c r="N91" s="172">
        <f t="shared" si="27"/>
        <v>-70.423285584509955</v>
      </c>
      <c r="O91" s="171">
        <v>0</v>
      </c>
      <c r="P91" s="171">
        <v>0</v>
      </c>
      <c r="Q91" s="171">
        <v>0</v>
      </c>
      <c r="R91" s="172">
        <f t="shared" si="28"/>
        <v>-70.423285584509955</v>
      </c>
    </row>
    <row r="92" spans="1:18" x14ac:dyDescent="0.25">
      <c r="A92" s="93">
        <v>1</v>
      </c>
      <c r="B92" s="164">
        <f t="shared" si="4"/>
        <v>45292</v>
      </c>
      <c r="C92" s="181">
        <f t="shared" ref="C92:D95" si="29">+C80</f>
        <v>45327</v>
      </c>
      <c r="D92" s="181">
        <f t="shared" si="29"/>
        <v>45348</v>
      </c>
      <c r="E92" s="165" t="s">
        <v>8</v>
      </c>
      <c r="F92" s="93">
        <v>9</v>
      </c>
      <c r="G92" s="166">
        <v>94</v>
      </c>
      <c r="H92" s="167">
        <f t="shared" si="25"/>
        <v>1.7695680965781104</v>
      </c>
      <c r="I92" s="167">
        <f t="shared" si="20"/>
        <v>0.49117878822913336</v>
      </c>
      <c r="J92" s="168">
        <f t="shared" si="2"/>
        <v>46.170806093538538</v>
      </c>
      <c r="K92" s="169">
        <f t="shared" si="11"/>
        <v>166.33940107834238</v>
      </c>
      <c r="L92" s="170">
        <f t="shared" si="24"/>
        <v>-120.16859498480383</v>
      </c>
      <c r="M92" s="171">
        <f t="shared" si="26"/>
        <v>-9.6311862886066351</v>
      </c>
      <c r="N92" s="172">
        <f t="shared" si="27"/>
        <v>-129.79978127341047</v>
      </c>
      <c r="O92" s="171">
        <v>0</v>
      </c>
      <c r="P92" s="171">
        <v>0</v>
      </c>
      <c r="Q92" s="171">
        <v>0</v>
      </c>
      <c r="R92" s="172">
        <f t="shared" si="28"/>
        <v>-129.79978127341047</v>
      </c>
    </row>
    <row r="93" spans="1:18" x14ac:dyDescent="0.25">
      <c r="A93" s="129">
        <v>2</v>
      </c>
      <c r="B93" s="164">
        <f t="shared" si="4"/>
        <v>45323</v>
      </c>
      <c r="C93" s="184">
        <f t="shared" si="29"/>
        <v>45356</v>
      </c>
      <c r="D93" s="184">
        <f t="shared" si="29"/>
        <v>45376</v>
      </c>
      <c r="E93" s="173" t="s">
        <v>8</v>
      </c>
      <c r="F93" s="129">
        <v>9</v>
      </c>
      <c r="G93" s="166">
        <v>62</v>
      </c>
      <c r="H93" s="167">
        <f t="shared" si="25"/>
        <v>1.7695680965781104</v>
      </c>
      <c r="I93" s="167">
        <f t="shared" si="20"/>
        <v>0.49117878822913336</v>
      </c>
      <c r="J93" s="168">
        <f t="shared" si="2"/>
        <v>30.453084870206268</v>
      </c>
      <c r="K93" s="169">
        <f t="shared" si="11"/>
        <v>109.71322198784284</v>
      </c>
      <c r="L93" s="170">
        <f t="shared" si="24"/>
        <v>-79.260137117636575</v>
      </c>
      <c r="M93" s="171">
        <f t="shared" si="26"/>
        <v>-6.35248457333629</v>
      </c>
      <c r="N93" s="172">
        <f t="shared" si="27"/>
        <v>-85.612621690972858</v>
      </c>
      <c r="O93" s="171">
        <v>0</v>
      </c>
      <c r="P93" s="171">
        <v>0</v>
      </c>
      <c r="Q93" s="171">
        <v>0</v>
      </c>
      <c r="R93" s="172">
        <f t="shared" si="28"/>
        <v>-85.612621690972858</v>
      </c>
    </row>
    <row r="94" spans="1:18" x14ac:dyDescent="0.25">
      <c r="A94" s="129">
        <v>3</v>
      </c>
      <c r="B94" s="164">
        <f t="shared" si="4"/>
        <v>45352</v>
      </c>
      <c r="C94" s="184">
        <f t="shared" si="29"/>
        <v>45385</v>
      </c>
      <c r="D94" s="184">
        <f t="shared" si="29"/>
        <v>45406</v>
      </c>
      <c r="E94" s="173" t="s">
        <v>8</v>
      </c>
      <c r="F94" s="129">
        <v>9</v>
      </c>
      <c r="G94" s="166">
        <v>60</v>
      </c>
      <c r="H94" s="167">
        <f t="shared" si="25"/>
        <v>1.7695680965781104</v>
      </c>
      <c r="I94" s="167">
        <f t="shared" si="20"/>
        <v>0.49117878822913336</v>
      </c>
      <c r="J94" s="168">
        <f t="shared" si="2"/>
        <v>29.470727293748002</v>
      </c>
      <c r="K94" s="169">
        <f t="shared" ref="K94:K133" si="30">+$G94*H94</f>
        <v>106.17408579468662</v>
      </c>
      <c r="L94" s="170">
        <f>+J94-K94</f>
        <v>-76.70335850093862</v>
      </c>
      <c r="M94" s="171">
        <f t="shared" si="26"/>
        <v>-6.1475657161318944</v>
      </c>
      <c r="N94" s="172">
        <f t="shared" si="27"/>
        <v>-82.850924217070514</v>
      </c>
      <c r="O94" s="171">
        <v>0</v>
      </c>
      <c r="P94" s="171">
        <v>0</v>
      </c>
      <c r="Q94" s="171">
        <v>0</v>
      </c>
      <c r="R94" s="172">
        <f t="shared" si="28"/>
        <v>-82.850924217070514</v>
      </c>
    </row>
    <row r="95" spans="1:18" x14ac:dyDescent="0.25">
      <c r="A95" s="93">
        <v>4</v>
      </c>
      <c r="B95" s="164">
        <f t="shared" si="4"/>
        <v>45383</v>
      </c>
      <c r="C95" s="184">
        <f t="shared" si="29"/>
        <v>45415</v>
      </c>
      <c r="D95" s="184">
        <f t="shared" si="29"/>
        <v>45436</v>
      </c>
      <c r="E95" s="173" t="s">
        <v>8</v>
      </c>
      <c r="F95" s="129">
        <v>9</v>
      </c>
      <c r="G95" s="166">
        <v>92</v>
      </c>
      <c r="H95" s="167">
        <f t="shared" si="25"/>
        <v>1.7695680965781104</v>
      </c>
      <c r="I95" s="167">
        <f t="shared" si="20"/>
        <v>0.49117878822913336</v>
      </c>
      <c r="J95" s="168">
        <f t="shared" si="2"/>
        <v>45.188448517080268</v>
      </c>
      <c r="K95" s="169">
        <f t="shared" si="30"/>
        <v>162.80026488518615</v>
      </c>
      <c r="L95" s="170">
        <f t="shared" ref="L95:L105" si="31">+J95-K95</f>
        <v>-117.61181636810588</v>
      </c>
      <c r="M95" s="171">
        <f t="shared" si="26"/>
        <v>-9.4262674314022377</v>
      </c>
      <c r="N95" s="172">
        <f t="shared" si="27"/>
        <v>-127.03808379950812</v>
      </c>
      <c r="O95" s="171">
        <v>0</v>
      </c>
      <c r="P95" s="171">
        <v>0</v>
      </c>
      <c r="Q95" s="171">
        <v>0</v>
      </c>
      <c r="R95" s="172">
        <f t="shared" si="28"/>
        <v>-127.03808379950812</v>
      </c>
    </row>
    <row r="96" spans="1:18" x14ac:dyDescent="0.25">
      <c r="A96" s="129">
        <v>5</v>
      </c>
      <c r="B96" s="164">
        <f t="shared" si="4"/>
        <v>45413</v>
      </c>
      <c r="C96" s="184">
        <f t="shared" ref="C96:D116" si="32">+C84</f>
        <v>45448</v>
      </c>
      <c r="D96" s="184">
        <f t="shared" si="32"/>
        <v>45467</v>
      </c>
      <c r="E96" s="52" t="s">
        <v>8</v>
      </c>
      <c r="F96" s="129">
        <v>9</v>
      </c>
      <c r="G96" s="166">
        <v>118</v>
      </c>
      <c r="H96" s="167">
        <f t="shared" si="25"/>
        <v>1.7695680965781104</v>
      </c>
      <c r="I96" s="167">
        <f t="shared" si="20"/>
        <v>0.49117878822913336</v>
      </c>
      <c r="J96" s="168">
        <f t="shared" si="2"/>
        <v>57.959097011037734</v>
      </c>
      <c r="K96" s="169">
        <f t="shared" si="30"/>
        <v>208.80903539621704</v>
      </c>
      <c r="L96" s="170">
        <f t="shared" si="31"/>
        <v>-150.84993838517931</v>
      </c>
      <c r="M96" s="171">
        <f t="shared" si="26"/>
        <v>-12.090212575059391</v>
      </c>
      <c r="N96" s="172">
        <f t="shared" si="27"/>
        <v>-162.9401509602387</v>
      </c>
      <c r="O96" s="171">
        <v>0</v>
      </c>
      <c r="P96" s="171">
        <v>0</v>
      </c>
      <c r="Q96" s="171">
        <v>0</v>
      </c>
      <c r="R96" s="172">
        <f t="shared" si="28"/>
        <v>-162.9401509602387</v>
      </c>
    </row>
    <row r="97" spans="1:18" x14ac:dyDescent="0.25">
      <c r="A97" s="129">
        <v>6</v>
      </c>
      <c r="B97" s="164">
        <f t="shared" si="4"/>
        <v>45444</v>
      </c>
      <c r="C97" s="184">
        <f t="shared" si="32"/>
        <v>45476</v>
      </c>
      <c r="D97" s="184">
        <f t="shared" si="32"/>
        <v>45497</v>
      </c>
      <c r="E97" s="52" t="s">
        <v>8</v>
      </c>
      <c r="F97" s="129">
        <v>9</v>
      </c>
      <c r="G97" s="166">
        <v>143</v>
      </c>
      <c r="H97" s="167">
        <f t="shared" si="25"/>
        <v>1.7695680965781104</v>
      </c>
      <c r="I97" s="167">
        <f t="shared" si="20"/>
        <v>0.49117878822913336</v>
      </c>
      <c r="J97" s="168">
        <f t="shared" si="2"/>
        <v>70.238566716766073</v>
      </c>
      <c r="K97" s="169">
        <f t="shared" si="30"/>
        <v>253.0482378106698</v>
      </c>
      <c r="L97" s="174">
        <f t="shared" si="31"/>
        <v>-182.80967109390372</v>
      </c>
      <c r="M97" s="171">
        <f t="shared" si="26"/>
        <v>-14.651698290114346</v>
      </c>
      <c r="N97" s="172">
        <f t="shared" si="27"/>
        <v>-197.46136938401807</v>
      </c>
      <c r="O97" s="171">
        <v>0</v>
      </c>
      <c r="P97" s="171">
        <v>0</v>
      </c>
      <c r="Q97" s="171">
        <v>0</v>
      </c>
      <c r="R97" s="172">
        <f t="shared" si="28"/>
        <v>-197.46136938401807</v>
      </c>
    </row>
    <row r="98" spans="1:18" x14ac:dyDescent="0.25">
      <c r="A98" s="93">
        <v>7</v>
      </c>
      <c r="B98" s="164">
        <f t="shared" si="4"/>
        <v>45474</v>
      </c>
      <c r="C98" s="184">
        <f t="shared" si="32"/>
        <v>45509</v>
      </c>
      <c r="D98" s="184">
        <f t="shared" si="32"/>
        <v>45530</v>
      </c>
      <c r="E98" s="52" t="s">
        <v>8</v>
      </c>
      <c r="F98" s="129">
        <v>9</v>
      </c>
      <c r="G98" s="166">
        <v>151</v>
      </c>
      <c r="H98" s="167">
        <f t="shared" si="25"/>
        <v>1.7695680965781104</v>
      </c>
      <c r="I98" s="167">
        <f t="shared" si="20"/>
        <v>0.49117878822913336</v>
      </c>
      <c r="J98" s="168">
        <f t="shared" si="2"/>
        <v>74.167997022599138</v>
      </c>
      <c r="K98" s="175">
        <f t="shared" si="30"/>
        <v>267.20478258329467</v>
      </c>
      <c r="L98" s="174">
        <f t="shared" si="31"/>
        <v>-193.03678556069553</v>
      </c>
      <c r="M98" s="171">
        <f t="shared" si="26"/>
        <v>-15.471373718931932</v>
      </c>
      <c r="N98" s="172">
        <f t="shared" si="27"/>
        <v>-208.50815927962748</v>
      </c>
      <c r="O98" s="171">
        <v>0</v>
      </c>
      <c r="P98" s="171">
        <v>0</v>
      </c>
      <c r="Q98" s="171">
        <v>0</v>
      </c>
      <c r="R98" s="172">
        <f t="shared" si="28"/>
        <v>-208.50815927962748</v>
      </c>
    </row>
    <row r="99" spans="1:18" x14ac:dyDescent="0.25">
      <c r="A99" s="129">
        <v>8</v>
      </c>
      <c r="B99" s="164">
        <f t="shared" si="4"/>
        <v>45505</v>
      </c>
      <c r="C99" s="184">
        <f t="shared" si="32"/>
        <v>45539</v>
      </c>
      <c r="D99" s="184">
        <f t="shared" si="32"/>
        <v>45559</v>
      </c>
      <c r="E99" s="52" t="s">
        <v>8</v>
      </c>
      <c r="F99" s="129">
        <v>9</v>
      </c>
      <c r="G99" s="166">
        <v>157</v>
      </c>
      <c r="H99" s="167">
        <f t="shared" si="25"/>
        <v>1.7695680965781104</v>
      </c>
      <c r="I99" s="167">
        <f t="shared" si="20"/>
        <v>0.49117878822913336</v>
      </c>
      <c r="J99" s="168">
        <f t="shared" si="2"/>
        <v>77.115069751973934</v>
      </c>
      <c r="K99" s="175">
        <f t="shared" si="30"/>
        <v>277.82219116276332</v>
      </c>
      <c r="L99" s="174">
        <f t="shared" si="31"/>
        <v>-200.7071214107894</v>
      </c>
      <c r="M99" s="171">
        <f t="shared" si="26"/>
        <v>-16.086130290545121</v>
      </c>
      <c r="N99" s="172">
        <f t="shared" si="27"/>
        <v>-216.79325170133453</v>
      </c>
      <c r="O99" s="171">
        <v>0</v>
      </c>
      <c r="P99" s="171">
        <v>0</v>
      </c>
      <c r="Q99" s="171">
        <v>0</v>
      </c>
      <c r="R99" s="172">
        <f t="shared" si="28"/>
        <v>-216.79325170133453</v>
      </c>
    </row>
    <row r="100" spans="1:18" x14ac:dyDescent="0.25">
      <c r="A100" s="129">
        <v>9</v>
      </c>
      <c r="B100" s="164">
        <f t="shared" si="4"/>
        <v>45536</v>
      </c>
      <c r="C100" s="184">
        <f t="shared" si="32"/>
        <v>45568</v>
      </c>
      <c r="D100" s="184">
        <f t="shared" si="32"/>
        <v>45589</v>
      </c>
      <c r="E100" s="52" t="s">
        <v>8</v>
      </c>
      <c r="F100" s="129">
        <v>9</v>
      </c>
      <c r="G100" s="166">
        <v>146</v>
      </c>
      <c r="H100" s="167">
        <f t="shared" si="25"/>
        <v>1.7695680965781104</v>
      </c>
      <c r="I100" s="167">
        <f t="shared" si="20"/>
        <v>0.49117878822913336</v>
      </c>
      <c r="J100" s="168">
        <f t="shared" si="2"/>
        <v>71.712103081453463</v>
      </c>
      <c r="K100" s="175">
        <f t="shared" si="30"/>
        <v>258.35694210040413</v>
      </c>
      <c r="L100" s="174">
        <f t="shared" si="31"/>
        <v>-186.64483901895068</v>
      </c>
      <c r="M100" s="171">
        <f t="shared" si="26"/>
        <v>-14.959076575920941</v>
      </c>
      <c r="N100" s="172">
        <f t="shared" si="27"/>
        <v>-201.60391559487161</v>
      </c>
      <c r="O100" s="171">
        <v>0</v>
      </c>
      <c r="P100" s="171">
        <v>0</v>
      </c>
      <c r="Q100" s="171">
        <v>0</v>
      </c>
      <c r="R100" s="172">
        <f t="shared" si="28"/>
        <v>-201.60391559487161</v>
      </c>
    </row>
    <row r="101" spans="1:18" x14ac:dyDescent="0.25">
      <c r="A101" s="93">
        <v>10</v>
      </c>
      <c r="B101" s="164">
        <f t="shared" si="4"/>
        <v>45566</v>
      </c>
      <c r="C101" s="184">
        <f t="shared" si="32"/>
        <v>45601</v>
      </c>
      <c r="D101" s="184">
        <f t="shared" si="32"/>
        <v>45621</v>
      </c>
      <c r="E101" s="52" t="s">
        <v>8</v>
      </c>
      <c r="F101" s="129">
        <v>9</v>
      </c>
      <c r="G101" s="166">
        <v>116</v>
      </c>
      <c r="H101" s="167">
        <f t="shared" si="25"/>
        <v>1.7695680965781104</v>
      </c>
      <c r="I101" s="167">
        <f t="shared" si="20"/>
        <v>0.49117878822913336</v>
      </c>
      <c r="J101" s="168">
        <f t="shared" si="2"/>
        <v>56.976739434579471</v>
      </c>
      <c r="K101" s="175">
        <f t="shared" si="30"/>
        <v>205.26989920306082</v>
      </c>
      <c r="L101" s="174">
        <f t="shared" si="31"/>
        <v>-148.29315976848136</v>
      </c>
      <c r="M101" s="171">
        <f t="shared" si="26"/>
        <v>-11.885293717854994</v>
      </c>
      <c r="N101" s="172">
        <f t="shared" si="27"/>
        <v>-160.17845348633637</v>
      </c>
      <c r="O101" s="171">
        <v>0</v>
      </c>
      <c r="P101" s="171">
        <v>0</v>
      </c>
      <c r="Q101" s="171">
        <v>0</v>
      </c>
      <c r="R101" s="172">
        <f t="shared" si="28"/>
        <v>-160.17845348633637</v>
      </c>
    </row>
    <row r="102" spans="1:18" x14ac:dyDescent="0.25">
      <c r="A102" s="129">
        <v>11</v>
      </c>
      <c r="B102" s="164">
        <f t="shared" si="4"/>
        <v>45597</v>
      </c>
      <c r="C102" s="184">
        <f t="shared" si="32"/>
        <v>45630</v>
      </c>
      <c r="D102" s="184">
        <f t="shared" si="32"/>
        <v>45650</v>
      </c>
      <c r="E102" s="52" t="s">
        <v>8</v>
      </c>
      <c r="F102" s="129">
        <v>9</v>
      </c>
      <c r="G102" s="166">
        <v>62</v>
      </c>
      <c r="H102" s="167">
        <f t="shared" si="25"/>
        <v>1.7695680965781104</v>
      </c>
      <c r="I102" s="167">
        <f t="shared" si="20"/>
        <v>0.49117878822913336</v>
      </c>
      <c r="J102" s="168">
        <f t="shared" si="2"/>
        <v>30.453084870206268</v>
      </c>
      <c r="K102" s="175">
        <f t="shared" si="30"/>
        <v>109.71322198784284</v>
      </c>
      <c r="L102" s="174">
        <f t="shared" si="31"/>
        <v>-79.260137117636575</v>
      </c>
      <c r="M102" s="171">
        <f t="shared" si="26"/>
        <v>-6.35248457333629</v>
      </c>
      <c r="N102" s="172">
        <f t="shared" si="27"/>
        <v>-85.612621690972858</v>
      </c>
      <c r="O102" s="171">
        <v>0</v>
      </c>
      <c r="P102" s="171">
        <v>0</v>
      </c>
      <c r="Q102" s="171">
        <v>0</v>
      </c>
      <c r="R102" s="172">
        <f t="shared" si="28"/>
        <v>-85.612621690972858</v>
      </c>
    </row>
    <row r="103" spans="1:18" s="188" customFormat="1" x14ac:dyDescent="0.25">
      <c r="A103" s="129">
        <v>12</v>
      </c>
      <c r="B103" s="186">
        <f t="shared" si="4"/>
        <v>45627</v>
      </c>
      <c r="C103" s="184">
        <f t="shared" si="32"/>
        <v>45660</v>
      </c>
      <c r="D103" s="184">
        <f t="shared" si="32"/>
        <v>45681</v>
      </c>
      <c r="E103" s="187" t="s">
        <v>8</v>
      </c>
      <c r="F103" s="140">
        <v>9</v>
      </c>
      <c r="G103" s="166">
        <v>77</v>
      </c>
      <c r="H103" s="176">
        <f t="shared" si="25"/>
        <v>1.7695680965781104</v>
      </c>
      <c r="I103" s="176">
        <f t="shared" si="20"/>
        <v>0.49117878822913336</v>
      </c>
      <c r="J103" s="177">
        <f t="shared" si="2"/>
        <v>37.820766693643272</v>
      </c>
      <c r="K103" s="178">
        <f t="shared" si="30"/>
        <v>136.25674343651451</v>
      </c>
      <c r="L103" s="179">
        <f t="shared" si="31"/>
        <v>-98.435976742871247</v>
      </c>
      <c r="M103" s="171">
        <f t="shared" si="26"/>
        <v>-7.8893760023692634</v>
      </c>
      <c r="N103" s="172">
        <f t="shared" si="27"/>
        <v>-106.32535274524051</v>
      </c>
      <c r="O103" s="171">
        <v>0</v>
      </c>
      <c r="P103" s="171">
        <v>0</v>
      </c>
      <c r="Q103" s="171">
        <v>0</v>
      </c>
      <c r="R103" s="172">
        <f t="shared" si="28"/>
        <v>-106.32535274524051</v>
      </c>
    </row>
    <row r="104" spans="1:18" x14ac:dyDescent="0.25">
      <c r="A104" s="93">
        <v>1</v>
      </c>
      <c r="B104" s="164">
        <f t="shared" si="4"/>
        <v>45292</v>
      </c>
      <c r="C104" s="181">
        <f t="shared" si="32"/>
        <v>45327</v>
      </c>
      <c r="D104" s="181">
        <f t="shared" si="32"/>
        <v>45348</v>
      </c>
      <c r="E104" s="165" t="s">
        <v>19</v>
      </c>
      <c r="F104" s="93">
        <v>9</v>
      </c>
      <c r="G104" s="166">
        <v>65</v>
      </c>
      <c r="H104" s="167">
        <f t="shared" si="25"/>
        <v>1.7695680965781104</v>
      </c>
      <c r="I104" s="167">
        <f t="shared" si="20"/>
        <v>0.49117878822913336</v>
      </c>
      <c r="J104" s="168">
        <f t="shared" si="2"/>
        <v>31.92662123489367</v>
      </c>
      <c r="K104" s="169">
        <f t="shared" si="30"/>
        <v>115.02192627757718</v>
      </c>
      <c r="L104" s="170">
        <f t="shared" si="31"/>
        <v>-83.095305042683506</v>
      </c>
      <c r="M104" s="171">
        <f t="shared" si="26"/>
        <v>-6.6598628591428861</v>
      </c>
      <c r="N104" s="172">
        <f t="shared" si="27"/>
        <v>-89.755167901826397</v>
      </c>
      <c r="O104" s="171">
        <v>0</v>
      </c>
      <c r="P104" s="171">
        <v>0</v>
      </c>
      <c r="Q104" s="171">
        <v>0</v>
      </c>
      <c r="R104" s="172">
        <f t="shared" si="28"/>
        <v>-89.755167901826397</v>
      </c>
    </row>
    <row r="105" spans="1:18" x14ac:dyDescent="0.25">
      <c r="A105" s="129">
        <v>2</v>
      </c>
      <c r="B105" s="164">
        <f t="shared" si="4"/>
        <v>45323</v>
      </c>
      <c r="C105" s="184">
        <f t="shared" si="32"/>
        <v>45356</v>
      </c>
      <c r="D105" s="184">
        <f t="shared" si="32"/>
        <v>45376</v>
      </c>
      <c r="E105" s="173" t="s">
        <v>19</v>
      </c>
      <c r="F105" s="129">
        <v>9</v>
      </c>
      <c r="G105" s="166">
        <v>65</v>
      </c>
      <c r="H105" s="167">
        <f t="shared" si="25"/>
        <v>1.7695680965781104</v>
      </c>
      <c r="I105" s="167">
        <f t="shared" si="20"/>
        <v>0.49117878822913336</v>
      </c>
      <c r="J105" s="168">
        <f t="shared" si="2"/>
        <v>31.92662123489367</v>
      </c>
      <c r="K105" s="169">
        <f t="shared" si="30"/>
        <v>115.02192627757718</v>
      </c>
      <c r="L105" s="170">
        <f t="shared" si="31"/>
        <v>-83.095305042683506</v>
      </c>
      <c r="M105" s="171">
        <f t="shared" si="26"/>
        <v>-6.6598628591428861</v>
      </c>
      <c r="N105" s="172">
        <f t="shared" si="27"/>
        <v>-89.755167901826397</v>
      </c>
      <c r="O105" s="171">
        <v>0</v>
      </c>
      <c r="P105" s="171">
        <v>0</v>
      </c>
      <c r="Q105" s="171">
        <v>0</v>
      </c>
      <c r="R105" s="172">
        <f t="shared" si="28"/>
        <v>-89.755167901826397</v>
      </c>
    </row>
    <row r="106" spans="1:18" x14ac:dyDescent="0.25">
      <c r="A106" s="129">
        <v>3</v>
      </c>
      <c r="B106" s="164">
        <f t="shared" si="4"/>
        <v>45352</v>
      </c>
      <c r="C106" s="184">
        <f t="shared" si="32"/>
        <v>45385</v>
      </c>
      <c r="D106" s="184">
        <f t="shared" si="32"/>
        <v>45406</v>
      </c>
      <c r="E106" s="173" t="s">
        <v>19</v>
      </c>
      <c r="F106" s="129">
        <v>9</v>
      </c>
      <c r="G106" s="166">
        <v>64</v>
      </c>
      <c r="H106" s="167">
        <f t="shared" si="25"/>
        <v>1.7695680965781104</v>
      </c>
      <c r="I106" s="167">
        <f t="shared" si="20"/>
        <v>0.49117878822913336</v>
      </c>
      <c r="J106" s="168">
        <f t="shared" si="2"/>
        <v>31.435442446664535</v>
      </c>
      <c r="K106" s="169">
        <f t="shared" si="30"/>
        <v>113.25235818099907</v>
      </c>
      <c r="L106" s="170">
        <f>+J106-K106</f>
        <v>-81.816915734334529</v>
      </c>
      <c r="M106" s="171">
        <f t="shared" si="26"/>
        <v>-6.5574034305406874</v>
      </c>
      <c r="N106" s="172">
        <f t="shared" si="27"/>
        <v>-88.374319164875217</v>
      </c>
      <c r="O106" s="171">
        <v>0</v>
      </c>
      <c r="P106" s="171">
        <v>0</v>
      </c>
      <c r="Q106" s="171">
        <v>0</v>
      </c>
      <c r="R106" s="172">
        <f t="shared" si="28"/>
        <v>-88.374319164875217</v>
      </c>
    </row>
    <row r="107" spans="1:18" x14ac:dyDescent="0.25">
      <c r="A107" s="93">
        <v>4</v>
      </c>
      <c r="B107" s="164">
        <f t="shared" si="4"/>
        <v>45383</v>
      </c>
      <c r="C107" s="184">
        <f t="shared" si="32"/>
        <v>45415</v>
      </c>
      <c r="D107" s="184">
        <f t="shared" si="32"/>
        <v>45436</v>
      </c>
      <c r="E107" s="52" t="s">
        <v>19</v>
      </c>
      <c r="F107" s="129">
        <v>9</v>
      </c>
      <c r="G107" s="166">
        <v>65</v>
      </c>
      <c r="H107" s="167">
        <f t="shared" si="25"/>
        <v>1.7695680965781104</v>
      </c>
      <c r="I107" s="167">
        <f t="shared" si="20"/>
        <v>0.49117878822913336</v>
      </c>
      <c r="J107" s="168">
        <f t="shared" si="2"/>
        <v>31.92662123489367</v>
      </c>
      <c r="K107" s="169">
        <f t="shared" si="30"/>
        <v>115.02192627757718</v>
      </c>
      <c r="L107" s="170">
        <f t="shared" ref="L107:L115" si="33">+J107-K107</f>
        <v>-83.095305042683506</v>
      </c>
      <c r="M107" s="171">
        <f t="shared" si="26"/>
        <v>-6.6598628591428861</v>
      </c>
      <c r="N107" s="172">
        <f t="shared" si="27"/>
        <v>-89.755167901826397</v>
      </c>
      <c r="O107" s="171">
        <v>0</v>
      </c>
      <c r="P107" s="171">
        <v>0</v>
      </c>
      <c r="Q107" s="171">
        <v>0</v>
      </c>
      <c r="R107" s="172">
        <f t="shared" si="28"/>
        <v>-89.755167901826397</v>
      </c>
    </row>
    <row r="108" spans="1:18" x14ac:dyDescent="0.25">
      <c r="A108" s="129">
        <v>5</v>
      </c>
      <c r="B108" s="164">
        <f t="shared" si="4"/>
        <v>45413</v>
      </c>
      <c r="C108" s="184">
        <f t="shared" si="32"/>
        <v>45448</v>
      </c>
      <c r="D108" s="184">
        <f t="shared" si="32"/>
        <v>45467</v>
      </c>
      <c r="E108" s="52" t="s">
        <v>19</v>
      </c>
      <c r="F108" s="129">
        <v>9</v>
      </c>
      <c r="G108" s="166">
        <v>51</v>
      </c>
      <c r="H108" s="167">
        <f t="shared" si="25"/>
        <v>1.7695680965781104</v>
      </c>
      <c r="I108" s="167">
        <f t="shared" ref="I108:I127" si="34">$J$3</f>
        <v>0.49117878822913336</v>
      </c>
      <c r="J108" s="168">
        <f t="shared" si="2"/>
        <v>25.050118199685802</v>
      </c>
      <c r="K108" s="169">
        <f t="shared" si="30"/>
        <v>90.247972925483637</v>
      </c>
      <c r="L108" s="170">
        <f t="shared" si="33"/>
        <v>-65.197854725797839</v>
      </c>
      <c r="M108" s="171">
        <f t="shared" si="26"/>
        <v>-5.2254308587121097</v>
      </c>
      <c r="N108" s="172">
        <f t="shared" si="27"/>
        <v>-70.423285584509955</v>
      </c>
      <c r="O108" s="171">
        <v>0</v>
      </c>
      <c r="P108" s="171">
        <v>0</v>
      </c>
      <c r="Q108" s="171">
        <v>0</v>
      </c>
      <c r="R108" s="172">
        <f t="shared" si="28"/>
        <v>-70.423285584509955</v>
      </c>
    </row>
    <row r="109" spans="1:18" x14ac:dyDescent="0.25">
      <c r="A109" s="129">
        <v>6</v>
      </c>
      <c r="B109" s="164">
        <f t="shared" ref="B109:B148" si="35">DATE($R$1,A109,1)</f>
        <v>45444</v>
      </c>
      <c r="C109" s="184">
        <f t="shared" si="32"/>
        <v>45476</v>
      </c>
      <c r="D109" s="184">
        <f t="shared" si="32"/>
        <v>45497</v>
      </c>
      <c r="E109" s="52" t="s">
        <v>19</v>
      </c>
      <c r="F109" s="129">
        <v>9</v>
      </c>
      <c r="G109" s="166">
        <v>59</v>
      </c>
      <c r="H109" s="167">
        <f t="shared" si="25"/>
        <v>1.7695680965781104</v>
      </c>
      <c r="I109" s="167">
        <f t="shared" si="34"/>
        <v>0.49117878822913336</v>
      </c>
      <c r="J109" s="168">
        <f t="shared" ref="J109:J148" si="36">+$G109*I109</f>
        <v>28.979548505518867</v>
      </c>
      <c r="K109" s="169">
        <f t="shared" si="30"/>
        <v>104.40451769810852</v>
      </c>
      <c r="L109" s="174">
        <f t="shared" si="33"/>
        <v>-75.424969192589657</v>
      </c>
      <c r="M109" s="171">
        <f t="shared" si="26"/>
        <v>-6.0451062875296957</v>
      </c>
      <c r="N109" s="172">
        <f t="shared" si="27"/>
        <v>-81.470075480119348</v>
      </c>
      <c r="O109" s="171">
        <v>0</v>
      </c>
      <c r="P109" s="171">
        <v>0</v>
      </c>
      <c r="Q109" s="171">
        <v>0</v>
      </c>
      <c r="R109" s="172">
        <f t="shared" si="28"/>
        <v>-81.470075480119348</v>
      </c>
    </row>
    <row r="110" spans="1:18" x14ac:dyDescent="0.25">
      <c r="A110" s="93">
        <v>7</v>
      </c>
      <c r="B110" s="164">
        <f t="shared" si="35"/>
        <v>45474</v>
      </c>
      <c r="C110" s="184">
        <f t="shared" si="32"/>
        <v>45509</v>
      </c>
      <c r="D110" s="184">
        <f t="shared" si="32"/>
        <v>45530</v>
      </c>
      <c r="E110" s="52" t="s">
        <v>19</v>
      </c>
      <c r="F110" s="129">
        <v>9</v>
      </c>
      <c r="G110" s="166">
        <v>67</v>
      </c>
      <c r="H110" s="167">
        <f t="shared" si="25"/>
        <v>1.7695680965781104</v>
      </c>
      <c r="I110" s="167">
        <f t="shared" si="34"/>
        <v>0.49117878822913336</v>
      </c>
      <c r="J110" s="168">
        <f t="shared" si="36"/>
        <v>32.908978811351936</v>
      </c>
      <c r="K110" s="175">
        <f t="shared" si="30"/>
        <v>118.5610624707334</v>
      </c>
      <c r="L110" s="174">
        <f t="shared" si="33"/>
        <v>-85.652083659381475</v>
      </c>
      <c r="M110" s="171">
        <f t="shared" si="26"/>
        <v>-6.8647817163472817</v>
      </c>
      <c r="N110" s="172">
        <f t="shared" si="27"/>
        <v>-92.516865375728756</v>
      </c>
      <c r="O110" s="171">
        <v>0</v>
      </c>
      <c r="P110" s="171">
        <v>0</v>
      </c>
      <c r="Q110" s="171">
        <v>0</v>
      </c>
      <c r="R110" s="172">
        <f t="shared" si="28"/>
        <v>-92.516865375728756</v>
      </c>
    </row>
    <row r="111" spans="1:18" x14ac:dyDescent="0.25">
      <c r="A111" s="129">
        <v>8</v>
      </c>
      <c r="B111" s="164">
        <f t="shared" si="35"/>
        <v>45505</v>
      </c>
      <c r="C111" s="184">
        <f t="shared" si="32"/>
        <v>45539</v>
      </c>
      <c r="D111" s="184">
        <f t="shared" si="32"/>
        <v>45559</v>
      </c>
      <c r="E111" s="52" t="s">
        <v>19</v>
      </c>
      <c r="F111" s="129">
        <v>9</v>
      </c>
      <c r="G111" s="166">
        <v>70</v>
      </c>
      <c r="H111" s="167">
        <f t="shared" si="25"/>
        <v>1.7695680965781104</v>
      </c>
      <c r="I111" s="167">
        <f t="shared" si="34"/>
        <v>0.49117878822913336</v>
      </c>
      <c r="J111" s="168">
        <f t="shared" si="36"/>
        <v>34.382515176039334</v>
      </c>
      <c r="K111" s="175">
        <f t="shared" si="30"/>
        <v>123.86976676046773</v>
      </c>
      <c r="L111" s="174">
        <f t="shared" si="33"/>
        <v>-89.487251584428392</v>
      </c>
      <c r="M111" s="171">
        <f t="shared" si="26"/>
        <v>-7.1721600021538761</v>
      </c>
      <c r="N111" s="172">
        <f t="shared" si="27"/>
        <v>-96.659411586582266</v>
      </c>
      <c r="O111" s="171">
        <v>0</v>
      </c>
      <c r="P111" s="171">
        <v>0</v>
      </c>
      <c r="Q111" s="171">
        <v>0</v>
      </c>
      <c r="R111" s="172">
        <f t="shared" si="28"/>
        <v>-96.659411586582266</v>
      </c>
    </row>
    <row r="112" spans="1:18" x14ac:dyDescent="0.25">
      <c r="A112" s="129">
        <v>9</v>
      </c>
      <c r="B112" s="164">
        <f t="shared" si="35"/>
        <v>45536</v>
      </c>
      <c r="C112" s="184">
        <f t="shared" si="32"/>
        <v>45568</v>
      </c>
      <c r="D112" s="184">
        <f t="shared" si="32"/>
        <v>45589</v>
      </c>
      <c r="E112" s="52" t="s">
        <v>19</v>
      </c>
      <c r="F112" s="129">
        <v>9</v>
      </c>
      <c r="G112" s="166">
        <v>72</v>
      </c>
      <c r="H112" s="167">
        <f t="shared" si="25"/>
        <v>1.7695680965781104</v>
      </c>
      <c r="I112" s="167">
        <f t="shared" si="34"/>
        <v>0.49117878822913336</v>
      </c>
      <c r="J112" s="168">
        <f t="shared" si="36"/>
        <v>35.364872752497604</v>
      </c>
      <c r="K112" s="175">
        <f t="shared" si="30"/>
        <v>127.40890295362395</v>
      </c>
      <c r="L112" s="174">
        <f t="shared" si="33"/>
        <v>-92.044030201126347</v>
      </c>
      <c r="M112" s="171">
        <f t="shared" si="26"/>
        <v>-7.3770788593582735</v>
      </c>
      <c r="N112" s="172">
        <f t="shared" si="27"/>
        <v>-99.421109060484625</v>
      </c>
      <c r="O112" s="171">
        <v>0</v>
      </c>
      <c r="P112" s="171">
        <v>0</v>
      </c>
      <c r="Q112" s="171">
        <v>0</v>
      </c>
      <c r="R112" s="172">
        <f t="shared" si="28"/>
        <v>-99.421109060484625</v>
      </c>
    </row>
    <row r="113" spans="1:18" x14ac:dyDescent="0.25">
      <c r="A113" s="93">
        <v>10</v>
      </c>
      <c r="B113" s="164">
        <f t="shared" si="35"/>
        <v>45566</v>
      </c>
      <c r="C113" s="184">
        <f t="shared" si="32"/>
        <v>45601</v>
      </c>
      <c r="D113" s="184">
        <f t="shared" si="32"/>
        <v>45621</v>
      </c>
      <c r="E113" s="52" t="s">
        <v>19</v>
      </c>
      <c r="F113" s="129">
        <v>9</v>
      </c>
      <c r="G113" s="166">
        <v>73</v>
      </c>
      <c r="H113" s="167">
        <f t="shared" si="25"/>
        <v>1.7695680965781104</v>
      </c>
      <c r="I113" s="167">
        <f t="shared" si="34"/>
        <v>0.49117878822913336</v>
      </c>
      <c r="J113" s="168">
        <f t="shared" si="36"/>
        <v>35.856051540726732</v>
      </c>
      <c r="K113" s="175">
        <f t="shared" si="30"/>
        <v>129.17847105020206</v>
      </c>
      <c r="L113" s="174">
        <f t="shared" si="33"/>
        <v>-93.322419509475338</v>
      </c>
      <c r="M113" s="171">
        <f t="shared" si="26"/>
        <v>-7.4795382879604704</v>
      </c>
      <c r="N113" s="172">
        <f t="shared" si="27"/>
        <v>-100.8019577974358</v>
      </c>
      <c r="O113" s="171">
        <v>0</v>
      </c>
      <c r="P113" s="171">
        <v>0</v>
      </c>
      <c r="Q113" s="171">
        <v>0</v>
      </c>
      <c r="R113" s="172">
        <f t="shared" si="28"/>
        <v>-100.8019577974358</v>
      </c>
    </row>
    <row r="114" spans="1:18" x14ac:dyDescent="0.25">
      <c r="A114" s="129">
        <v>11</v>
      </c>
      <c r="B114" s="164">
        <f t="shared" si="35"/>
        <v>45597</v>
      </c>
      <c r="C114" s="184">
        <f t="shared" si="32"/>
        <v>45630</v>
      </c>
      <c r="D114" s="184">
        <f t="shared" si="32"/>
        <v>45650</v>
      </c>
      <c r="E114" s="52" t="s">
        <v>19</v>
      </c>
      <c r="F114" s="129">
        <v>9</v>
      </c>
      <c r="G114" s="166">
        <v>72</v>
      </c>
      <c r="H114" s="167">
        <f t="shared" si="25"/>
        <v>1.7695680965781104</v>
      </c>
      <c r="I114" s="167">
        <f t="shared" si="34"/>
        <v>0.49117878822913336</v>
      </c>
      <c r="J114" s="168">
        <f t="shared" si="36"/>
        <v>35.364872752497604</v>
      </c>
      <c r="K114" s="175">
        <f t="shared" si="30"/>
        <v>127.40890295362395</v>
      </c>
      <c r="L114" s="174">
        <f t="shared" si="33"/>
        <v>-92.044030201126347</v>
      </c>
      <c r="M114" s="171">
        <f t="shared" si="26"/>
        <v>-7.3770788593582735</v>
      </c>
      <c r="N114" s="172">
        <f t="shared" si="27"/>
        <v>-99.421109060484625</v>
      </c>
      <c r="O114" s="171">
        <v>0</v>
      </c>
      <c r="P114" s="171">
        <v>0</v>
      </c>
      <c r="Q114" s="171">
        <v>0</v>
      </c>
      <c r="R114" s="172">
        <f t="shared" si="28"/>
        <v>-99.421109060484625</v>
      </c>
    </row>
    <row r="115" spans="1:18" s="188" customFormat="1" x14ac:dyDescent="0.25">
      <c r="A115" s="129">
        <v>12</v>
      </c>
      <c r="B115" s="186">
        <f t="shared" si="35"/>
        <v>45627</v>
      </c>
      <c r="C115" s="189">
        <f t="shared" si="32"/>
        <v>45660</v>
      </c>
      <c r="D115" s="189">
        <f t="shared" si="32"/>
        <v>45681</v>
      </c>
      <c r="E115" s="187" t="s">
        <v>19</v>
      </c>
      <c r="F115" s="140">
        <v>9</v>
      </c>
      <c r="G115" s="166">
        <v>65</v>
      </c>
      <c r="H115" s="176">
        <f t="shared" si="25"/>
        <v>1.7695680965781104</v>
      </c>
      <c r="I115" s="176">
        <f t="shared" si="34"/>
        <v>0.49117878822913336</v>
      </c>
      <c r="J115" s="177">
        <f t="shared" si="36"/>
        <v>31.92662123489367</v>
      </c>
      <c r="K115" s="178">
        <f t="shared" si="30"/>
        <v>115.02192627757718</v>
      </c>
      <c r="L115" s="179">
        <f t="shared" si="33"/>
        <v>-83.095305042683506</v>
      </c>
      <c r="M115" s="171">
        <f t="shared" si="26"/>
        <v>-6.6598628591428861</v>
      </c>
      <c r="N115" s="172">
        <f t="shared" si="27"/>
        <v>-89.755167901826397</v>
      </c>
      <c r="O115" s="171">
        <v>0</v>
      </c>
      <c r="P115" s="171">
        <v>0</v>
      </c>
      <c r="Q115" s="171">
        <v>0</v>
      </c>
      <c r="R115" s="172">
        <f t="shared" si="28"/>
        <v>-89.755167901826397</v>
      </c>
    </row>
    <row r="116" spans="1:18" x14ac:dyDescent="0.25">
      <c r="A116" s="93">
        <v>1</v>
      </c>
      <c r="B116" s="164">
        <f t="shared" si="35"/>
        <v>45292</v>
      </c>
      <c r="C116" s="184">
        <f t="shared" si="32"/>
        <v>45327</v>
      </c>
      <c r="D116" s="184">
        <f t="shared" si="32"/>
        <v>45348</v>
      </c>
      <c r="E116" s="165" t="s">
        <v>13</v>
      </c>
      <c r="F116" s="93">
        <v>9</v>
      </c>
      <c r="G116" s="166">
        <v>1452</v>
      </c>
      <c r="H116" s="167">
        <f t="shared" si="25"/>
        <v>1.7695680965781104</v>
      </c>
      <c r="I116" s="167">
        <f t="shared" si="34"/>
        <v>0.49117878822913336</v>
      </c>
      <c r="J116" s="168">
        <f t="shared" si="36"/>
        <v>713.19160050870164</v>
      </c>
      <c r="K116" s="169">
        <f t="shared" si="30"/>
        <v>2569.4128762314162</v>
      </c>
      <c r="L116" s="170">
        <f>+J116-K116</f>
        <v>-1856.2212757227146</v>
      </c>
      <c r="M116" s="171">
        <f t="shared" si="26"/>
        <v>-148.77109033039184</v>
      </c>
      <c r="N116" s="172">
        <f t="shared" si="27"/>
        <v>-2004.9923660531065</v>
      </c>
      <c r="O116" s="171">
        <v>0</v>
      </c>
      <c r="P116" s="171">
        <v>0</v>
      </c>
      <c r="Q116" s="171">
        <v>0</v>
      </c>
      <c r="R116" s="172">
        <f t="shared" si="28"/>
        <v>-2004.9923660531065</v>
      </c>
    </row>
    <row r="117" spans="1:18" x14ac:dyDescent="0.25">
      <c r="A117" s="129">
        <v>2</v>
      </c>
      <c r="B117" s="164">
        <f t="shared" si="35"/>
        <v>45323</v>
      </c>
      <c r="C117" s="184">
        <f t="shared" ref="C117:D139" si="37">+C105</f>
        <v>45356</v>
      </c>
      <c r="D117" s="184">
        <f t="shared" si="37"/>
        <v>45376</v>
      </c>
      <c r="E117" s="173" t="s">
        <v>13</v>
      </c>
      <c r="F117" s="129">
        <v>9</v>
      </c>
      <c r="G117" s="166">
        <v>966</v>
      </c>
      <c r="H117" s="167">
        <f t="shared" si="25"/>
        <v>1.7695680965781104</v>
      </c>
      <c r="I117" s="167">
        <f t="shared" si="34"/>
        <v>0.49117878822913336</v>
      </c>
      <c r="J117" s="168">
        <f t="shared" si="36"/>
        <v>474.47870942934281</v>
      </c>
      <c r="K117" s="169">
        <f t="shared" si="30"/>
        <v>1709.4027812944546</v>
      </c>
      <c r="L117" s="170">
        <f>+J117-K117</f>
        <v>-1234.9240718651117</v>
      </c>
      <c r="M117" s="171">
        <f t="shared" si="26"/>
        <v>-98.975808029723481</v>
      </c>
      <c r="N117" s="172">
        <f t="shared" si="27"/>
        <v>-1333.8998798948353</v>
      </c>
      <c r="O117" s="171">
        <v>0</v>
      </c>
      <c r="P117" s="171">
        <v>0</v>
      </c>
      <c r="Q117" s="171">
        <v>0</v>
      </c>
      <c r="R117" s="172">
        <f t="shared" si="28"/>
        <v>-1333.8998798948353</v>
      </c>
    </row>
    <row r="118" spans="1:18" x14ac:dyDescent="0.25">
      <c r="A118" s="129">
        <v>3</v>
      </c>
      <c r="B118" s="164">
        <f t="shared" si="35"/>
        <v>45352</v>
      </c>
      <c r="C118" s="184">
        <f t="shared" si="37"/>
        <v>45385</v>
      </c>
      <c r="D118" s="184">
        <f t="shared" si="37"/>
        <v>45406</v>
      </c>
      <c r="E118" s="173" t="s">
        <v>13</v>
      </c>
      <c r="F118" s="129">
        <v>9</v>
      </c>
      <c r="G118" s="166">
        <v>732</v>
      </c>
      <c r="H118" s="167">
        <f t="shared" si="25"/>
        <v>1.7695680965781104</v>
      </c>
      <c r="I118" s="167">
        <f t="shared" si="34"/>
        <v>0.49117878822913336</v>
      </c>
      <c r="J118" s="168">
        <f t="shared" si="36"/>
        <v>359.5428729837256</v>
      </c>
      <c r="K118" s="169">
        <f t="shared" si="30"/>
        <v>1295.3238466951768</v>
      </c>
      <c r="L118" s="170">
        <f>+J118-K118</f>
        <v>-935.78097371145122</v>
      </c>
      <c r="M118" s="171">
        <f t="shared" si="26"/>
        <v>-75.000301736809107</v>
      </c>
      <c r="N118" s="172">
        <f t="shared" si="27"/>
        <v>-1010.7812754482603</v>
      </c>
      <c r="O118" s="171">
        <v>0</v>
      </c>
      <c r="P118" s="171">
        <v>0</v>
      </c>
      <c r="Q118" s="171">
        <v>0</v>
      </c>
      <c r="R118" s="172">
        <f t="shared" si="28"/>
        <v>-1010.7812754482603</v>
      </c>
    </row>
    <row r="119" spans="1:18" x14ac:dyDescent="0.25">
      <c r="A119" s="93">
        <v>4</v>
      </c>
      <c r="B119" s="164">
        <f t="shared" si="35"/>
        <v>45383</v>
      </c>
      <c r="C119" s="184">
        <f t="shared" si="37"/>
        <v>45415</v>
      </c>
      <c r="D119" s="184">
        <f t="shared" si="37"/>
        <v>45436</v>
      </c>
      <c r="E119" s="52" t="s">
        <v>13</v>
      </c>
      <c r="F119" s="129">
        <v>9</v>
      </c>
      <c r="G119" s="166">
        <v>547</v>
      </c>
      <c r="H119" s="167">
        <f t="shared" si="25"/>
        <v>1.7695680965781104</v>
      </c>
      <c r="I119" s="167">
        <f t="shared" si="34"/>
        <v>0.49117878822913336</v>
      </c>
      <c r="J119" s="168">
        <f t="shared" si="36"/>
        <v>268.67479716133596</v>
      </c>
      <c r="K119" s="169">
        <f t="shared" si="30"/>
        <v>967.95374882822637</v>
      </c>
      <c r="L119" s="170">
        <f t="shared" ref="L119:L127" si="38">+J119-K119</f>
        <v>-699.27895166689041</v>
      </c>
      <c r="M119" s="171">
        <f t="shared" si="26"/>
        <v>-56.045307445402429</v>
      </c>
      <c r="N119" s="172">
        <f t="shared" si="27"/>
        <v>-755.32425911229279</v>
      </c>
      <c r="O119" s="171">
        <v>0</v>
      </c>
      <c r="P119" s="171">
        <v>0</v>
      </c>
      <c r="Q119" s="171">
        <v>0</v>
      </c>
      <c r="R119" s="172">
        <f t="shared" si="28"/>
        <v>-755.32425911229279</v>
      </c>
    </row>
    <row r="120" spans="1:18" x14ac:dyDescent="0.25">
      <c r="A120" s="129">
        <v>5</v>
      </c>
      <c r="B120" s="164">
        <f t="shared" si="35"/>
        <v>45413</v>
      </c>
      <c r="C120" s="184">
        <f t="shared" si="37"/>
        <v>45448</v>
      </c>
      <c r="D120" s="184">
        <f t="shared" si="37"/>
        <v>45467</v>
      </c>
      <c r="E120" s="52" t="s">
        <v>13</v>
      </c>
      <c r="F120" s="129">
        <v>9</v>
      </c>
      <c r="G120" s="166">
        <v>747</v>
      </c>
      <c r="H120" s="167">
        <f t="shared" si="25"/>
        <v>1.7695680965781104</v>
      </c>
      <c r="I120" s="167">
        <f t="shared" si="34"/>
        <v>0.49117878822913336</v>
      </c>
      <c r="J120" s="168">
        <f t="shared" si="36"/>
        <v>366.91055480716261</v>
      </c>
      <c r="K120" s="169">
        <f t="shared" si="30"/>
        <v>1321.8673681438486</v>
      </c>
      <c r="L120" s="170">
        <f t="shared" si="38"/>
        <v>-954.95681333668597</v>
      </c>
      <c r="M120" s="171">
        <f t="shared" si="26"/>
        <v>-76.537193165842083</v>
      </c>
      <c r="N120" s="172">
        <f t="shared" si="27"/>
        <v>-1031.494006502528</v>
      </c>
      <c r="O120" s="171">
        <v>0</v>
      </c>
      <c r="P120" s="171">
        <v>0</v>
      </c>
      <c r="Q120" s="171">
        <v>0</v>
      </c>
      <c r="R120" s="172">
        <f t="shared" si="28"/>
        <v>-1031.494006502528</v>
      </c>
    </row>
    <row r="121" spans="1:18" x14ac:dyDescent="0.25">
      <c r="A121" s="129">
        <v>6</v>
      </c>
      <c r="B121" s="164">
        <f t="shared" si="35"/>
        <v>45444</v>
      </c>
      <c r="C121" s="184">
        <f t="shared" si="37"/>
        <v>45476</v>
      </c>
      <c r="D121" s="184">
        <f t="shared" si="37"/>
        <v>45497</v>
      </c>
      <c r="E121" s="52" t="s">
        <v>13</v>
      </c>
      <c r="F121" s="129">
        <v>9</v>
      </c>
      <c r="G121" s="166">
        <v>917</v>
      </c>
      <c r="H121" s="167">
        <f t="shared" si="25"/>
        <v>1.7695680965781104</v>
      </c>
      <c r="I121" s="167">
        <f t="shared" si="34"/>
        <v>0.49117878822913336</v>
      </c>
      <c r="J121" s="168">
        <f t="shared" si="36"/>
        <v>450.4109488061153</v>
      </c>
      <c r="K121" s="169">
        <f t="shared" si="30"/>
        <v>1622.6939445621272</v>
      </c>
      <c r="L121" s="174">
        <f t="shared" si="38"/>
        <v>-1172.2829957560118</v>
      </c>
      <c r="M121" s="171">
        <f t="shared" si="26"/>
        <v>-93.955296028215784</v>
      </c>
      <c r="N121" s="172">
        <f t="shared" si="27"/>
        <v>-1266.2382917842276</v>
      </c>
      <c r="O121" s="171">
        <v>0</v>
      </c>
      <c r="P121" s="171">
        <v>0</v>
      </c>
      <c r="Q121" s="171">
        <v>0</v>
      </c>
      <c r="R121" s="172">
        <f t="shared" si="28"/>
        <v>-1266.2382917842276</v>
      </c>
    </row>
    <row r="122" spans="1:18" x14ac:dyDescent="0.25">
      <c r="A122" s="93">
        <v>7</v>
      </c>
      <c r="B122" s="164">
        <f t="shared" si="35"/>
        <v>45474</v>
      </c>
      <c r="C122" s="184">
        <f t="shared" si="37"/>
        <v>45509</v>
      </c>
      <c r="D122" s="184">
        <f t="shared" si="37"/>
        <v>45530</v>
      </c>
      <c r="E122" s="52" t="s">
        <v>13</v>
      </c>
      <c r="F122" s="129">
        <v>9</v>
      </c>
      <c r="G122" s="166">
        <v>950</v>
      </c>
      <c r="H122" s="167">
        <f t="shared" si="25"/>
        <v>1.7695680965781104</v>
      </c>
      <c r="I122" s="167">
        <f t="shared" si="34"/>
        <v>0.49117878822913336</v>
      </c>
      <c r="J122" s="168">
        <f t="shared" si="36"/>
        <v>466.61984881767671</v>
      </c>
      <c r="K122" s="175">
        <f t="shared" si="30"/>
        <v>1681.0896917492048</v>
      </c>
      <c r="L122" s="174">
        <f t="shared" si="38"/>
        <v>-1214.4698429315281</v>
      </c>
      <c r="M122" s="171">
        <f t="shared" si="26"/>
        <v>-97.33645717208833</v>
      </c>
      <c r="N122" s="172">
        <f t="shared" si="27"/>
        <v>-1311.8063001036164</v>
      </c>
      <c r="O122" s="171">
        <v>0</v>
      </c>
      <c r="P122" s="171">
        <v>0</v>
      </c>
      <c r="Q122" s="171">
        <v>0</v>
      </c>
      <c r="R122" s="172">
        <f t="shared" si="28"/>
        <v>-1311.8063001036164</v>
      </c>
    </row>
    <row r="123" spans="1:18" x14ac:dyDescent="0.25">
      <c r="A123" s="129">
        <v>8</v>
      </c>
      <c r="B123" s="164">
        <f t="shared" si="35"/>
        <v>45505</v>
      </c>
      <c r="C123" s="184">
        <f t="shared" si="37"/>
        <v>45539</v>
      </c>
      <c r="D123" s="184">
        <f t="shared" si="37"/>
        <v>45559</v>
      </c>
      <c r="E123" s="52" t="s">
        <v>13</v>
      </c>
      <c r="F123" s="129">
        <v>9</v>
      </c>
      <c r="G123" s="166">
        <v>940</v>
      </c>
      <c r="H123" s="167">
        <f t="shared" si="25"/>
        <v>1.7695680965781104</v>
      </c>
      <c r="I123" s="167">
        <f t="shared" si="34"/>
        <v>0.49117878822913336</v>
      </c>
      <c r="J123" s="168">
        <f t="shared" si="36"/>
        <v>461.70806093538533</v>
      </c>
      <c r="K123" s="175">
        <f t="shared" si="30"/>
        <v>1663.3940107834237</v>
      </c>
      <c r="L123" s="174">
        <f t="shared" si="38"/>
        <v>-1201.6859498480385</v>
      </c>
      <c r="M123" s="171">
        <f t="shared" si="26"/>
        <v>-96.311862886066336</v>
      </c>
      <c r="N123" s="172">
        <f t="shared" si="27"/>
        <v>-1297.9978127341049</v>
      </c>
      <c r="O123" s="171">
        <v>0</v>
      </c>
      <c r="P123" s="171">
        <v>0</v>
      </c>
      <c r="Q123" s="171">
        <v>0</v>
      </c>
      <c r="R123" s="172">
        <f t="shared" si="28"/>
        <v>-1297.9978127341049</v>
      </c>
    </row>
    <row r="124" spans="1:18" x14ac:dyDescent="0.25">
      <c r="A124" s="129">
        <v>9</v>
      </c>
      <c r="B124" s="164">
        <f t="shared" si="35"/>
        <v>45536</v>
      </c>
      <c r="C124" s="184">
        <f t="shared" si="37"/>
        <v>45568</v>
      </c>
      <c r="D124" s="184">
        <f t="shared" si="37"/>
        <v>45589</v>
      </c>
      <c r="E124" s="52" t="s">
        <v>13</v>
      </c>
      <c r="F124" s="129">
        <v>9</v>
      </c>
      <c r="G124" s="166">
        <v>816</v>
      </c>
      <c r="H124" s="167">
        <f t="shared" si="25"/>
        <v>1.7695680965781104</v>
      </c>
      <c r="I124" s="167">
        <f t="shared" si="34"/>
        <v>0.49117878822913336</v>
      </c>
      <c r="J124" s="168">
        <f t="shared" si="36"/>
        <v>400.80189119497282</v>
      </c>
      <c r="K124" s="175">
        <f t="shared" si="30"/>
        <v>1443.9675668077382</v>
      </c>
      <c r="L124" s="174">
        <f t="shared" si="38"/>
        <v>-1043.1656756127654</v>
      </c>
      <c r="M124" s="171">
        <f t="shared" si="26"/>
        <v>-83.606893739393755</v>
      </c>
      <c r="N124" s="172">
        <f t="shared" si="27"/>
        <v>-1126.7725693521593</v>
      </c>
      <c r="O124" s="171">
        <v>0</v>
      </c>
      <c r="P124" s="171">
        <v>0</v>
      </c>
      <c r="Q124" s="171">
        <v>0</v>
      </c>
      <c r="R124" s="172">
        <f t="shared" si="28"/>
        <v>-1126.7725693521593</v>
      </c>
    </row>
    <row r="125" spans="1:18" x14ac:dyDescent="0.25">
      <c r="A125" s="93">
        <v>10</v>
      </c>
      <c r="B125" s="164">
        <f t="shared" si="35"/>
        <v>45566</v>
      </c>
      <c r="C125" s="184">
        <f t="shared" si="37"/>
        <v>45601</v>
      </c>
      <c r="D125" s="184">
        <f t="shared" si="37"/>
        <v>45621</v>
      </c>
      <c r="E125" s="52" t="s">
        <v>13</v>
      </c>
      <c r="F125" s="129">
        <v>9</v>
      </c>
      <c r="G125" s="166">
        <v>683</v>
      </c>
      <c r="H125" s="167">
        <f t="shared" si="25"/>
        <v>1.7695680965781104</v>
      </c>
      <c r="I125" s="167">
        <f t="shared" si="34"/>
        <v>0.49117878822913336</v>
      </c>
      <c r="J125" s="168">
        <f t="shared" si="36"/>
        <v>335.47511236049809</v>
      </c>
      <c r="K125" s="175">
        <f t="shared" si="30"/>
        <v>1208.6150099628494</v>
      </c>
      <c r="L125" s="174">
        <f t="shared" si="38"/>
        <v>-873.13989760235131</v>
      </c>
      <c r="M125" s="171">
        <f t="shared" si="26"/>
        <v>-69.979789735301395</v>
      </c>
      <c r="N125" s="172">
        <f t="shared" si="27"/>
        <v>-943.11968733765275</v>
      </c>
      <c r="O125" s="171">
        <v>0</v>
      </c>
      <c r="P125" s="171">
        <v>0</v>
      </c>
      <c r="Q125" s="171">
        <v>0</v>
      </c>
      <c r="R125" s="172">
        <f t="shared" si="28"/>
        <v>-943.11968733765275</v>
      </c>
    </row>
    <row r="126" spans="1:18" x14ac:dyDescent="0.25">
      <c r="A126" s="129">
        <v>11</v>
      </c>
      <c r="B126" s="164">
        <f t="shared" si="35"/>
        <v>45597</v>
      </c>
      <c r="C126" s="184">
        <f t="shared" si="37"/>
        <v>45630</v>
      </c>
      <c r="D126" s="184">
        <f t="shared" si="37"/>
        <v>45650</v>
      </c>
      <c r="E126" s="52" t="s">
        <v>13</v>
      </c>
      <c r="F126" s="129">
        <v>9</v>
      </c>
      <c r="G126" s="166">
        <v>525</v>
      </c>
      <c r="H126" s="167">
        <f t="shared" si="25"/>
        <v>1.7695680965781104</v>
      </c>
      <c r="I126" s="167">
        <f t="shared" si="34"/>
        <v>0.49117878822913336</v>
      </c>
      <c r="J126" s="168">
        <f t="shared" si="36"/>
        <v>257.86886382029502</v>
      </c>
      <c r="K126" s="175">
        <f t="shared" si="30"/>
        <v>929.02325070350798</v>
      </c>
      <c r="L126" s="174">
        <f t="shared" si="38"/>
        <v>-671.15438688321296</v>
      </c>
      <c r="M126" s="171">
        <f t="shared" si="26"/>
        <v>-53.791200016154072</v>
      </c>
      <c r="N126" s="172">
        <f t="shared" si="27"/>
        <v>-724.94558689936707</v>
      </c>
      <c r="O126" s="171">
        <v>0</v>
      </c>
      <c r="P126" s="171">
        <v>0</v>
      </c>
      <c r="Q126" s="171">
        <v>0</v>
      </c>
      <c r="R126" s="172">
        <f t="shared" si="28"/>
        <v>-724.94558689936707</v>
      </c>
    </row>
    <row r="127" spans="1:18" s="188" customFormat="1" x14ac:dyDescent="0.25">
      <c r="A127" s="129">
        <v>12</v>
      </c>
      <c r="B127" s="186">
        <f t="shared" si="35"/>
        <v>45627</v>
      </c>
      <c r="C127" s="189">
        <f t="shared" si="37"/>
        <v>45660</v>
      </c>
      <c r="D127" s="189">
        <f t="shared" si="37"/>
        <v>45681</v>
      </c>
      <c r="E127" s="187" t="s">
        <v>13</v>
      </c>
      <c r="F127" s="140">
        <v>9</v>
      </c>
      <c r="G127" s="166">
        <v>863</v>
      </c>
      <c r="H127" s="176">
        <f t="shared" si="25"/>
        <v>1.7695680965781104</v>
      </c>
      <c r="I127" s="176">
        <f t="shared" si="34"/>
        <v>0.49117878822913336</v>
      </c>
      <c r="J127" s="177">
        <f t="shared" si="36"/>
        <v>423.8872942417421</v>
      </c>
      <c r="K127" s="178">
        <f t="shared" si="30"/>
        <v>1527.1372673469093</v>
      </c>
      <c r="L127" s="179">
        <f t="shared" si="38"/>
        <v>-1103.2499731051671</v>
      </c>
      <c r="M127" s="171">
        <f t="shared" si="26"/>
        <v>-88.422486883697076</v>
      </c>
      <c r="N127" s="172">
        <f t="shared" si="27"/>
        <v>-1191.6724599888641</v>
      </c>
      <c r="O127" s="171">
        <v>0</v>
      </c>
      <c r="P127" s="171">
        <v>0</v>
      </c>
      <c r="Q127" s="171">
        <v>0</v>
      </c>
      <c r="R127" s="172">
        <f t="shared" si="28"/>
        <v>-1191.6724599888641</v>
      </c>
    </row>
    <row r="128" spans="1:18" x14ac:dyDescent="0.25">
      <c r="A128" s="93">
        <v>1</v>
      </c>
      <c r="B128" s="164">
        <f t="shared" si="35"/>
        <v>45292</v>
      </c>
      <c r="C128" s="184">
        <f t="shared" si="37"/>
        <v>45327</v>
      </c>
      <c r="D128" s="184">
        <f t="shared" si="37"/>
        <v>45348</v>
      </c>
      <c r="E128" s="165" t="s">
        <v>15</v>
      </c>
      <c r="F128" s="93">
        <v>9</v>
      </c>
      <c r="G128" s="166">
        <v>8</v>
      </c>
      <c r="H128" s="167">
        <f t="shared" si="25"/>
        <v>1.7695680965781104</v>
      </c>
      <c r="I128" s="167">
        <f t="shared" ref="I128:I147" si="39">$J$3</f>
        <v>0.49117878822913336</v>
      </c>
      <c r="J128" s="168">
        <f t="shared" si="36"/>
        <v>3.9294303058330668</v>
      </c>
      <c r="K128" s="169">
        <f t="shared" si="30"/>
        <v>14.156544772624883</v>
      </c>
      <c r="L128" s="170">
        <f>+J128-K128</f>
        <v>-10.227114466791816</v>
      </c>
      <c r="M128" s="171">
        <f t="shared" si="26"/>
        <v>-0.81967542881758593</v>
      </c>
      <c r="N128" s="172">
        <f t="shared" si="27"/>
        <v>-11.046789895609402</v>
      </c>
      <c r="O128" s="171">
        <v>0</v>
      </c>
      <c r="P128" s="171">
        <v>0</v>
      </c>
      <c r="Q128" s="171">
        <v>0</v>
      </c>
      <c r="R128" s="172">
        <f t="shared" si="28"/>
        <v>-11.046789895609402</v>
      </c>
    </row>
    <row r="129" spans="1:18" x14ac:dyDescent="0.25">
      <c r="A129" s="129">
        <v>2</v>
      </c>
      <c r="B129" s="164">
        <f t="shared" si="35"/>
        <v>45323</v>
      </c>
      <c r="C129" s="184">
        <f t="shared" si="37"/>
        <v>45356</v>
      </c>
      <c r="D129" s="184">
        <f t="shared" si="37"/>
        <v>45376</v>
      </c>
      <c r="E129" s="173" t="s">
        <v>15</v>
      </c>
      <c r="F129" s="129">
        <v>9</v>
      </c>
      <c r="G129" s="166">
        <v>5</v>
      </c>
      <c r="H129" s="167">
        <f t="shared" si="25"/>
        <v>1.7695680965781104</v>
      </c>
      <c r="I129" s="167">
        <f t="shared" si="39"/>
        <v>0.49117878822913336</v>
      </c>
      <c r="J129" s="168">
        <f t="shared" si="36"/>
        <v>2.4558939411456668</v>
      </c>
      <c r="K129" s="169">
        <f t="shared" si="30"/>
        <v>8.8478404828905521</v>
      </c>
      <c r="L129" s="170">
        <f>+J129-K129</f>
        <v>-6.3919465417448853</v>
      </c>
      <c r="M129" s="171">
        <f t="shared" si="26"/>
        <v>-0.51229714301099116</v>
      </c>
      <c r="N129" s="172">
        <f t="shared" si="27"/>
        <v>-6.9042436847558761</v>
      </c>
      <c r="O129" s="171">
        <v>0</v>
      </c>
      <c r="P129" s="171">
        <v>0</v>
      </c>
      <c r="Q129" s="171">
        <v>0</v>
      </c>
      <c r="R129" s="172">
        <f t="shared" si="28"/>
        <v>-6.9042436847558761</v>
      </c>
    </row>
    <row r="130" spans="1:18" x14ac:dyDescent="0.25">
      <c r="A130" s="129">
        <v>3</v>
      </c>
      <c r="B130" s="164">
        <f t="shared" si="35"/>
        <v>45352</v>
      </c>
      <c r="C130" s="184">
        <f t="shared" si="37"/>
        <v>45385</v>
      </c>
      <c r="D130" s="184">
        <f t="shared" si="37"/>
        <v>45406</v>
      </c>
      <c r="E130" s="173" t="s">
        <v>15</v>
      </c>
      <c r="F130" s="129">
        <v>9</v>
      </c>
      <c r="G130" s="166">
        <v>5</v>
      </c>
      <c r="H130" s="167">
        <f t="shared" si="25"/>
        <v>1.7695680965781104</v>
      </c>
      <c r="I130" s="167">
        <f t="shared" si="39"/>
        <v>0.49117878822913336</v>
      </c>
      <c r="J130" s="168">
        <f t="shared" si="36"/>
        <v>2.4558939411456668</v>
      </c>
      <c r="K130" s="169">
        <f t="shared" si="30"/>
        <v>8.8478404828905521</v>
      </c>
      <c r="L130" s="170">
        <f>+J130-K130</f>
        <v>-6.3919465417448853</v>
      </c>
      <c r="M130" s="171">
        <f t="shared" si="26"/>
        <v>-0.51229714301099116</v>
      </c>
      <c r="N130" s="172">
        <f t="shared" si="27"/>
        <v>-6.9042436847558761</v>
      </c>
      <c r="O130" s="171">
        <v>0</v>
      </c>
      <c r="P130" s="171">
        <v>0</v>
      </c>
      <c r="Q130" s="171">
        <v>0</v>
      </c>
      <c r="R130" s="172">
        <f t="shared" si="28"/>
        <v>-6.9042436847558761</v>
      </c>
    </row>
    <row r="131" spans="1:18" x14ac:dyDescent="0.25">
      <c r="A131" s="93">
        <v>4</v>
      </c>
      <c r="B131" s="164">
        <f t="shared" si="35"/>
        <v>45383</v>
      </c>
      <c r="C131" s="184">
        <f t="shared" si="37"/>
        <v>45415</v>
      </c>
      <c r="D131" s="184">
        <f t="shared" si="37"/>
        <v>45436</v>
      </c>
      <c r="E131" s="173" t="s">
        <v>15</v>
      </c>
      <c r="F131" s="129">
        <v>9</v>
      </c>
      <c r="G131" s="166">
        <v>6</v>
      </c>
      <c r="H131" s="167">
        <f t="shared" si="25"/>
        <v>1.7695680965781104</v>
      </c>
      <c r="I131" s="167">
        <f t="shared" si="39"/>
        <v>0.49117878822913336</v>
      </c>
      <c r="J131" s="168">
        <f t="shared" si="36"/>
        <v>2.9470727293748</v>
      </c>
      <c r="K131" s="169">
        <f t="shared" si="30"/>
        <v>10.617408579468663</v>
      </c>
      <c r="L131" s="170">
        <f t="shared" ref="L131:L141" si="40">+J131-K131</f>
        <v>-7.6703358500938625</v>
      </c>
      <c r="M131" s="171">
        <f t="shared" si="26"/>
        <v>-0.61475657161318942</v>
      </c>
      <c r="N131" s="172">
        <f t="shared" si="27"/>
        <v>-8.2850924217070521</v>
      </c>
      <c r="O131" s="171">
        <v>0</v>
      </c>
      <c r="P131" s="171">
        <v>0</v>
      </c>
      <c r="Q131" s="171">
        <v>0</v>
      </c>
      <c r="R131" s="172">
        <f t="shared" si="28"/>
        <v>-8.2850924217070521</v>
      </c>
    </row>
    <row r="132" spans="1:18" x14ac:dyDescent="0.25">
      <c r="A132" s="129">
        <v>5</v>
      </c>
      <c r="B132" s="164">
        <f t="shared" si="35"/>
        <v>45413</v>
      </c>
      <c r="C132" s="184">
        <f t="shared" si="37"/>
        <v>45448</v>
      </c>
      <c r="D132" s="184">
        <f t="shared" si="37"/>
        <v>45467</v>
      </c>
      <c r="E132" s="52" t="s">
        <v>15</v>
      </c>
      <c r="F132" s="129">
        <v>9</v>
      </c>
      <c r="G132" s="166">
        <v>9</v>
      </c>
      <c r="H132" s="167">
        <f t="shared" si="25"/>
        <v>1.7695680965781104</v>
      </c>
      <c r="I132" s="167">
        <f t="shared" si="39"/>
        <v>0.49117878822913336</v>
      </c>
      <c r="J132" s="168">
        <f t="shared" si="36"/>
        <v>4.4206090940622005</v>
      </c>
      <c r="K132" s="169">
        <f t="shared" si="30"/>
        <v>15.926112869202994</v>
      </c>
      <c r="L132" s="170">
        <f t="shared" si="40"/>
        <v>-11.505503775140793</v>
      </c>
      <c r="M132" s="171">
        <f t="shared" si="26"/>
        <v>-0.92213485741978418</v>
      </c>
      <c r="N132" s="172">
        <f t="shared" si="27"/>
        <v>-12.427638632560578</v>
      </c>
      <c r="O132" s="171">
        <v>0</v>
      </c>
      <c r="P132" s="171">
        <v>0</v>
      </c>
      <c r="Q132" s="171">
        <v>0</v>
      </c>
      <c r="R132" s="172">
        <f t="shared" si="28"/>
        <v>-12.427638632560578</v>
      </c>
    </row>
    <row r="133" spans="1:18" x14ac:dyDescent="0.25">
      <c r="A133" s="129">
        <v>6</v>
      </c>
      <c r="B133" s="164">
        <f t="shared" si="35"/>
        <v>45444</v>
      </c>
      <c r="C133" s="184">
        <f t="shared" si="37"/>
        <v>45476</v>
      </c>
      <c r="D133" s="184">
        <f t="shared" si="37"/>
        <v>45497</v>
      </c>
      <c r="E133" s="52" t="s">
        <v>15</v>
      </c>
      <c r="F133" s="129">
        <v>9</v>
      </c>
      <c r="G133" s="166">
        <v>14</v>
      </c>
      <c r="H133" s="167">
        <f t="shared" si="25"/>
        <v>1.7695680965781104</v>
      </c>
      <c r="I133" s="167">
        <f t="shared" si="39"/>
        <v>0.49117878822913336</v>
      </c>
      <c r="J133" s="168">
        <f t="shared" si="36"/>
        <v>6.8765030352078673</v>
      </c>
      <c r="K133" s="169">
        <f t="shared" si="30"/>
        <v>24.773953352093546</v>
      </c>
      <c r="L133" s="174">
        <f t="shared" si="40"/>
        <v>-17.897450316885678</v>
      </c>
      <c r="M133" s="171">
        <f t="shared" si="26"/>
        <v>-1.4344320004307753</v>
      </c>
      <c r="N133" s="172">
        <f t="shared" si="27"/>
        <v>-19.331882317316452</v>
      </c>
      <c r="O133" s="171">
        <v>0</v>
      </c>
      <c r="P133" s="171">
        <v>0</v>
      </c>
      <c r="Q133" s="171">
        <v>0</v>
      </c>
      <c r="R133" s="172">
        <f t="shared" si="28"/>
        <v>-19.331882317316452</v>
      </c>
    </row>
    <row r="134" spans="1:18" x14ac:dyDescent="0.25">
      <c r="A134" s="93">
        <v>7</v>
      </c>
      <c r="B134" s="164">
        <f t="shared" si="35"/>
        <v>45474</v>
      </c>
      <c r="C134" s="184">
        <f t="shared" si="37"/>
        <v>45509</v>
      </c>
      <c r="D134" s="184">
        <f t="shared" si="37"/>
        <v>45530</v>
      </c>
      <c r="E134" s="52" t="s">
        <v>15</v>
      </c>
      <c r="F134" s="129">
        <v>9</v>
      </c>
      <c r="G134" s="166">
        <v>17</v>
      </c>
      <c r="H134" s="167">
        <f t="shared" si="25"/>
        <v>1.7695680965781104</v>
      </c>
      <c r="I134" s="167">
        <f t="shared" si="39"/>
        <v>0.49117878822913336</v>
      </c>
      <c r="J134" s="168">
        <f t="shared" si="36"/>
        <v>8.3500393998952678</v>
      </c>
      <c r="K134" s="175">
        <f t="shared" ref="K134:K197" si="41">+$G134*H134</f>
        <v>30.082657641827879</v>
      </c>
      <c r="L134" s="174">
        <f t="shared" si="40"/>
        <v>-21.732618241932613</v>
      </c>
      <c r="M134" s="171">
        <f t="shared" si="26"/>
        <v>-1.7418102862373701</v>
      </c>
      <c r="N134" s="172">
        <f t="shared" si="27"/>
        <v>-23.474428528169984</v>
      </c>
      <c r="O134" s="171">
        <v>0</v>
      </c>
      <c r="P134" s="171">
        <v>0</v>
      </c>
      <c r="Q134" s="171">
        <v>0</v>
      </c>
      <c r="R134" s="172">
        <f t="shared" si="28"/>
        <v>-23.474428528169984</v>
      </c>
    </row>
    <row r="135" spans="1:18" x14ac:dyDescent="0.25">
      <c r="A135" s="129">
        <v>8</v>
      </c>
      <c r="B135" s="164">
        <f t="shared" si="35"/>
        <v>45505</v>
      </c>
      <c r="C135" s="184">
        <f t="shared" si="37"/>
        <v>45539</v>
      </c>
      <c r="D135" s="184">
        <f t="shared" si="37"/>
        <v>45559</v>
      </c>
      <c r="E135" s="52" t="s">
        <v>15</v>
      </c>
      <c r="F135" s="129">
        <v>9</v>
      </c>
      <c r="G135" s="166">
        <v>19</v>
      </c>
      <c r="H135" s="167">
        <f t="shared" si="25"/>
        <v>1.7695680965781104</v>
      </c>
      <c r="I135" s="167">
        <f t="shared" si="39"/>
        <v>0.49117878822913336</v>
      </c>
      <c r="J135" s="168">
        <f t="shared" si="36"/>
        <v>9.3323969763535342</v>
      </c>
      <c r="K135" s="175">
        <f t="shared" si="41"/>
        <v>33.621793834984096</v>
      </c>
      <c r="L135" s="174">
        <f t="shared" si="40"/>
        <v>-24.28939685863056</v>
      </c>
      <c r="M135" s="171">
        <f t="shared" si="26"/>
        <v>-1.9467291434417666</v>
      </c>
      <c r="N135" s="172">
        <f t="shared" si="27"/>
        <v>-26.236126002072329</v>
      </c>
      <c r="O135" s="171">
        <v>0</v>
      </c>
      <c r="P135" s="171">
        <v>0</v>
      </c>
      <c r="Q135" s="171">
        <v>0</v>
      </c>
      <c r="R135" s="172">
        <f t="shared" si="28"/>
        <v>-26.236126002072329</v>
      </c>
    </row>
    <row r="136" spans="1:18" x14ac:dyDescent="0.25">
      <c r="A136" s="129">
        <v>9</v>
      </c>
      <c r="B136" s="164">
        <f t="shared" si="35"/>
        <v>45536</v>
      </c>
      <c r="C136" s="184">
        <f t="shared" si="37"/>
        <v>45568</v>
      </c>
      <c r="D136" s="184">
        <f t="shared" si="37"/>
        <v>45589</v>
      </c>
      <c r="E136" s="52" t="s">
        <v>15</v>
      </c>
      <c r="F136" s="129">
        <v>9</v>
      </c>
      <c r="G136" s="166">
        <v>11</v>
      </c>
      <c r="H136" s="167">
        <f t="shared" si="25"/>
        <v>1.7695680965781104</v>
      </c>
      <c r="I136" s="167">
        <f t="shared" si="39"/>
        <v>0.49117878822913336</v>
      </c>
      <c r="J136" s="168">
        <f t="shared" si="36"/>
        <v>5.4029666705204669</v>
      </c>
      <c r="K136" s="175">
        <f t="shared" si="41"/>
        <v>19.465249062359213</v>
      </c>
      <c r="L136" s="174">
        <f t="shared" si="40"/>
        <v>-14.062282391838746</v>
      </c>
      <c r="M136" s="171">
        <f t="shared" si="26"/>
        <v>-1.1270537146241806</v>
      </c>
      <c r="N136" s="172">
        <f t="shared" si="27"/>
        <v>-15.189336106462926</v>
      </c>
      <c r="O136" s="171">
        <v>0</v>
      </c>
      <c r="P136" s="171">
        <v>0</v>
      </c>
      <c r="Q136" s="171">
        <v>0</v>
      </c>
      <c r="R136" s="172">
        <f t="shared" si="28"/>
        <v>-15.189336106462926</v>
      </c>
    </row>
    <row r="137" spans="1:18" x14ac:dyDescent="0.25">
      <c r="A137" s="93">
        <v>10</v>
      </c>
      <c r="B137" s="164">
        <f t="shared" si="35"/>
        <v>45566</v>
      </c>
      <c r="C137" s="184">
        <f t="shared" si="37"/>
        <v>45601</v>
      </c>
      <c r="D137" s="184">
        <f t="shared" si="37"/>
        <v>45621</v>
      </c>
      <c r="E137" s="52" t="s">
        <v>15</v>
      </c>
      <c r="F137" s="129">
        <v>9</v>
      </c>
      <c r="G137" s="166">
        <v>6</v>
      </c>
      <c r="H137" s="167">
        <f t="shared" si="25"/>
        <v>1.7695680965781104</v>
      </c>
      <c r="I137" s="167">
        <f t="shared" si="39"/>
        <v>0.49117878822913336</v>
      </c>
      <c r="J137" s="168">
        <f t="shared" si="36"/>
        <v>2.9470727293748</v>
      </c>
      <c r="K137" s="175">
        <f t="shared" si="41"/>
        <v>10.617408579468663</v>
      </c>
      <c r="L137" s="174">
        <f t="shared" si="40"/>
        <v>-7.6703358500938625</v>
      </c>
      <c r="M137" s="171">
        <f t="shared" si="26"/>
        <v>-0.61475657161318942</v>
      </c>
      <c r="N137" s="172">
        <f t="shared" si="27"/>
        <v>-8.2850924217070521</v>
      </c>
      <c r="O137" s="171">
        <v>0</v>
      </c>
      <c r="P137" s="171">
        <v>0</v>
      </c>
      <c r="Q137" s="171">
        <v>0</v>
      </c>
      <c r="R137" s="172">
        <f t="shared" si="28"/>
        <v>-8.2850924217070521</v>
      </c>
    </row>
    <row r="138" spans="1:18" x14ac:dyDescent="0.25">
      <c r="A138" s="129">
        <v>11</v>
      </c>
      <c r="B138" s="164">
        <f t="shared" si="35"/>
        <v>45597</v>
      </c>
      <c r="C138" s="184">
        <f t="shared" si="37"/>
        <v>45630</v>
      </c>
      <c r="D138" s="184">
        <f t="shared" si="37"/>
        <v>45650</v>
      </c>
      <c r="E138" s="52" t="s">
        <v>15</v>
      </c>
      <c r="F138" s="129">
        <v>9</v>
      </c>
      <c r="G138" s="166">
        <v>6</v>
      </c>
      <c r="H138" s="167">
        <f t="shared" si="25"/>
        <v>1.7695680965781104</v>
      </c>
      <c r="I138" s="167">
        <f t="shared" si="39"/>
        <v>0.49117878822913336</v>
      </c>
      <c r="J138" s="168">
        <f t="shared" si="36"/>
        <v>2.9470727293748</v>
      </c>
      <c r="K138" s="175">
        <f t="shared" si="41"/>
        <v>10.617408579468663</v>
      </c>
      <c r="L138" s="174">
        <f t="shared" si="40"/>
        <v>-7.6703358500938625</v>
      </c>
      <c r="M138" s="171">
        <f t="shared" si="26"/>
        <v>-0.61475657161318942</v>
      </c>
      <c r="N138" s="172">
        <f t="shared" si="27"/>
        <v>-8.2850924217070521</v>
      </c>
      <c r="O138" s="171">
        <v>0</v>
      </c>
      <c r="P138" s="171">
        <v>0</v>
      </c>
      <c r="Q138" s="171">
        <v>0</v>
      </c>
      <c r="R138" s="172">
        <f t="shared" si="28"/>
        <v>-8.2850924217070521</v>
      </c>
    </row>
    <row r="139" spans="1:18" s="188" customFormat="1" x14ac:dyDescent="0.25">
      <c r="A139" s="129">
        <v>12</v>
      </c>
      <c r="B139" s="186">
        <f t="shared" si="35"/>
        <v>45627</v>
      </c>
      <c r="C139" s="184">
        <f t="shared" si="37"/>
        <v>45660</v>
      </c>
      <c r="D139" s="184">
        <f t="shared" si="37"/>
        <v>45681</v>
      </c>
      <c r="E139" s="187" t="s">
        <v>15</v>
      </c>
      <c r="F139" s="140">
        <v>9</v>
      </c>
      <c r="G139" s="166">
        <v>6</v>
      </c>
      <c r="H139" s="176">
        <f t="shared" si="25"/>
        <v>1.7695680965781104</v>
      </c>
      <c r="I139" s="176">
        <f t="shared" si="39"/>
        <v>0.49117878822913336</v>
      </c>
      <c r="J139" s="177">
        <f t="shared" si="36"/>
        <v>2.9470727293748</v>
      </c>
      <c r="K139" s="178">
        <f t="shared" si="41"/>
        <v>10.617408579468663</v>
      </c>
      <c r="L139" s="179">
        <f t="shared" si="40"/>
        <v>-7.6703358500938625</v>
      </c>
      <c r="M139" s="171">
        <f t="shared" si="26"/>
        <v>-0.61475657161318942</v>
      </c>
      <c r="N139" s="172">
        <f t="shared" si="27"/>
        <v>-8.2850924217070521</v>
      </c>
      <c r="O139" s="171">
        <v>0</v>
      </c>
      <c r="P139" s="171">
        <v>0</v>
      </c>
      <c r="Q139" s="171">
        <v>0</v>
      </c>
      <c r="R139" s="172">
        <f t="shared" si="28"/>
        <v>-8.2850924217070521</v>
      </c>
    </row>
    <row r="140" spans="1:18" x14ac:dyDescent="0.25">
      <c r="A140" s="93">
        <v>1</v>
      </c>
      <c r="B140" s="164">
        <f t="shared" si="35"/>
        <v>45292</v>
      </c>
      <c r="C140" s="181">
        <f t="shared" ref="C140:D151" si="42">+C128</f>
        <v>45327</v>
      </c>
      <c r="D140" s="181">
        <f t="shared" si="42"/>
        <v>45348</v>
      </c>
      <c r="E140" s="191" t="s">
        <v>16</v>
      </c>
      <c r="F140" s="129">
        <v>9</v>
      </c>
      <c r="G140" s="166">
        <v>4</v>
      </c>
      <c r="H140" s="167">
        <f t="shared" si="25"/>
        <v>1.7695680965781104</v>
      </c>
      <c r="I140" s="167">
        <f t="shared" si="39"/>
        <v>0.49117878822913336</v>
      </c>
      <c r="J140" s="168">
        <f t="shared" si="36"/>
        <v>1.9647151529165334</v>
      </c>
      <c r="K140" s="169">
        <f t="shared" si="41"/>
        <v>7.0782723863124417</v>
      </c>
      <c r="L140" s="170">
        <f t="shared" si="40"/>
        <v>-5.1135572333959081</v>
      </c>
      <c r="M140" s="171">
        <f t="shared" si="26"/>
        <v>-0.40983771440879296</v>
      </c>
      <c r="N140" s="172">
        <f t="shared" si="27"/>
        <v>-5.5233949478047011</v>
      </c>
      <c r="O140" s="171">
        <v>0</v>
      </c>
      <c r="P140" s="171">
        <v>0</v>
      </c>
      <c r="Q140" s="171">
        <v>0</v>
      </c>
      <c r="R140" s="172">
        <f t="shared" si="28"/>
        <v>-5.5233949478047011</v>
      </c>
    </row>
    <row r="141" spans="1:18" x14ac:dyDescent="0.25">
      <c r="A141" s="129">
        <v>2</v>
      </c>
      <c r="B141" s="164">
        <f t="shared" si="35"/>
        <v>45323</v>
      </c>
      <c r="C141" s="184">
        <f t="shared" si="42"/>
        <v>45356</v>
      </c>
      <c r="D141" s="184">
        <f t="shared" si="42"/>
        <v>45376</v>
      </c>
      <c r="E141" s="52" t="s">
        <v>16</v>
      </c>
      <c r="F141" s="129">
        <v>9</v>
      </c>
      <c r="G141" s="166">
        <v>3</v>
      </c>
      <c r="H141" s="167">
        <f t="shared" si="25"/>
        <v>1.7695680965781104</v>
      </c>
      <c r="I141" s="167">
        <f t="shared" si="39"/>
        <v>0.49117878822913336</v>
      </c>
      <c r="J141" s="168">
        <f t="shared" si="36"/>
        <v>1.4735363646874</v>
      </c>
      <c r="K141" s="169">
        <f t="shared" si="41"/>
        <v>5.3087042897343313</v>
      </c>
      <c r="L141" s="170">
        <f t="shared" si="40"/>
        <v>-3.8351679250469313</v>
      </c>
      <c r="M141" s="171">
        <f t="shared" si="26"/>
        <v>-0.30737828580659471</v>
      </c>
      <c r="N141" s="172">
        <f t="shared" si="27"/>
        <v>-4.142546210853526</v>
      </c>
      <c r="O141" s="171">
        <v>0</v>
      </c>
      <c r="P141" s="171">
        <v>0</v>
      </c>
      <c r="Q141" s="171">
        <v>0</v>
      </c>
      <c r="R141" s="172">
        <f t="shared" si="28"/>
        <v>-4.142546210853526</v>
      </c>
    </row>
    <row r="142" spans="1:18" x14ac:dyDescent="0.25">
      <c r="A142" s="129">
        <v>3</v>
      </c>
      <c r="B142" s="164">
        <f t="shared" si="35"/>
        <v>45352</v>
      </c>
      <c r="C142" s="184">
        <f t="shared" si="42"/>
        <v>45385</v>
      </c>
      <c r="D142" s="184">
        <f t="shared" si="42"/>
        <v>45406</v>
      </c>
      <c r="E142" s="52" t="s">
        <v>16</v>
      </c>
      <c r="F142" s="129">
        <v>9</v>
      </c>
      <c r="G142" s="166">
        <v>3</v>
      </c>
      <c r="H142" s="167">
        <f t="shared" si="25"/>
        <v>1.7695680965781104</v>
      </c>
      <c r="I142" s="167">
        <f t="shared" si="39"/>
        <v>0.49117878822913336</v>
      </c>
      <c r="J142" s="168">
        <f t="shared" si="36"/>
        <v>1.4735363646874</v>
      </c>
      <c r="K142" s="169">
        <f t="shared" si="41"/>
        <v>5.3087042897343313</v>
      </c>
      <c r="L142" s="170">
        <f>+J142-K142</f>
        <v>-3.8351679250469313</v>
      </c>
      <c r="M142" s="171">
        <f t="shared" si="26"/>
        <v>-0.30737828580659471</v>
      </c>
      <c r="N142" s="172">
        <f t="shared" si="27"/>
        <v>-4.142546210853526</v>
      </c>
      <c r="O142" s="171">
        <v>0</v>
      </c>
      <c r="P142" s="171">
        <v>0</v>
      </c>
      <c r="Q142" s="171">
        <v>0</v>
      </c>
      <c r="R142" s="172">
        <f t="shared" si="28"/>
        <v>-4.142546210853526</v>
      </c>
    </row>
    <row r="143" spans="1:18" x14ac:dyDescent="0.25">
      <c r="A143" s="93">
        <v>4</v>
      </c>
      <c r="B143" s="164">
        <f t="shared" si="35"/>
        <v>45383</v>
      </c>
      <c r="C143" s="184">
        <f t="shared" si="42"/>
        <v>45415</v>
      </c>
      <c r="D143" s="184">
        <f t="shared" si="42"/>
        <v>45436</v>
      </c>
      <c r="E143" s="52" t="s">
        <v>16</v>
      </c>
      <c r="F143" s="129">
        <v>9</v>
      </c>
      <c r="G143" s="166">
        <v>2</v>
      </c>
      <c r="H143" s="167">
        <f t="shared" si="25"/>
        <v>1.7695680965781104</v>
      </c>
      <c r="I143" s="167">
        <f t="shared" si="39"/>
        <v>0.49117878822913336</v>
      </c>
      <c r="J143" s="168">
        <f t="shared" si="36"/>
        <v>0.98235757645826671</v>
      </c>
      <c r="K143" s="169">
        <f t="shared" si="41"/>
        <v>3.5391361931562209</v>
      </c>
      <c r="L143" s="170">
        <f t="shared" ref="L143:L153" si="43">+J143-K143</f>
        <v>-2.556778616697954</v>
      </c>
      <c r="M143" s="171">
        <f t="shared" si="26"/>
        <v>-0.20491885720439648</v>
      </c>
      <c r="N143" s="172">
        <f t="shared" si="27"/>
        <v>-2.7616974739023505</v>
      </c>
      <c r="O143" s="171">
        <v>0</v>
      </c>
      <c r="P143" s="171">
        <v>0</v>
      </c>
      <c r="Q143" s="171">
        <v>0</v>
      </c>
      <c r="R143" s="172">
        <f t="shared" si="28"/>
        <v>-2.7616974739023505</v>
      </c>
    </row>
    <row r="144" spans="1:18" x14ac:dyDescent="0.25">
      <c r="A144" s="129">
        <v>5</v>
      </c>
      <c r="B144" s="164">
        <f t="shared" si="35"/>
        <v>45413</v>
      </c>
      <c r="C144" s="184">
        <f t="shared" si="42"/>
        <v>45448</v>
      </c>
      <c r="D144" s="184">
        <f t="shared" si="42"/>
        <v>45467</v>
      </c>
      <c r="E144" s="52" t="s">
        <v>16</v>
      </c>
      <c r="F144" s="129">
        <v>9</v>
      </c>
      <c r="G144" s="166">
        <v>4</v>
      </c>
      <c r="H144" s="167">
        <f t="shared" si="25"/>
        <v>1.7695680965781104</v>
      </c>
      <c r="I144" s="167">
        <f t="shared" si="39"/>
        <v>0.49117878822913336</v>
      </c>
      <c r="J144" s="168">
        <f t="shared" si="36"/>
        <v>1.9647151529165334</v>
      </c>
      <c r="K144" s="169">
        <f t="shared" si="41"/>
        <v>7.0782723863124417</v>
      </c>
      <c r="L144" s="170">
        <f t="shared" si="43"/>
        <v>-5.1135572333959081</v>
      </c>
      <c r="M144" s="171">
        <f t="shared" si="26"/>
        <v>-0.40983771440879296</v>
      </c>
      <c r="N144" s="172">
        <f t="shared" si="27"/>
        <v>-5.5233949478047011</v>
      </c>
      <c r="O144" s="171">
        <v>0</v>
      </c>
      <c r="P144" s="171">
        <v>0</v>
      </c>
      <c r="Q144" s="171">
        <v>0</v>
      </c>
      <c r="R144" s="172">
        <f t="shared" si="28"/>
        <v>-5.5233949478047011</v>
      </c>
    </row>
    <row r="145" spans="1:19" x14ac:dyDescent="0.25">
      <c r="A145" s="129">
        <v>6</v>
      </c>
      <c r="B145" s="164">
        <f t="shared" si="35"/>
        <v>45444</v>
      </c>
      <c r="C145" s="184">
        <f t="shared" si="42"/>
        <v>45476</v>
      </c>
      <c r="D145" s="184">
        <f t="shared" si="42"/>
        <v>45497</v>
      </c>
      <c r="E145" s="52" t="s">
        <v>16</v>
      </c>
      <c r="F145" s="129">
        <v>9</v>
      </c>
      <c r="G145" s="166">
        <v>4</v>
      </c>
      <c r="H145" s="167">
        <f t="shared" si="25"/>
        <v>1.7695680965781104</v>
      </c>
      <c r="I145" s="167">
        <f t="shared" si="39"/>
        <v>0.49117878822913336</v>
      </c>
      <c r="J145" s="168">
        <f t="shared" si="36"/>
        <v>1.9647151529165334</v>
      </c>
      <c r="K145" s="169">
        <f t="shared" si="41"/>
        <v>7.0782723863124417</v>
      </c>
      <c r="L145" s="174">
        <f t="shared" si="43"/>
        <v>-5.1135572333959081</v>
      </c>
      <c r="M145" s="171">
        <f t="shared" si="26"/>
        <v>-0.40983771440879296</v>
      </c>
      <c r="N145" s="172">
        <f t="shared" si="27"/>
        <v>-5.5233949478047011</v>
      </c>
      <c r="O145" s="171">
        <v>0</v>
      </c>
      <c r="P145" s="171">
        <v>0</v>
      </c>
      <c r="Q145" s="171">
        <v>0</v>
      </c>
      <c r="R145" s="172">
        <f t="shared" si="28"/>
        <v>-5.5233949478047011</v>
      </c>
    </row>
    <row r="146" spans="1:19" x14ac:dyDescent="0.25">
      <c r="A146" s="93">
        <v>7</v>
      </c>
      <c r="B146" s="164">
        <f t="shared" si="35"/>
        <v>45474</v>
      </c>
      <c r="C146" s="184">
        <f t="shared" si="42"/>
        <v>45509</v>
      </c>
      <c r="D146" s="184">
        <f t="shared" si="42"/>
        <v>45530</v>
      </c>
      <c r="E146" s="52" t="s">
        <v>16</v>
      </c>
      <c r="F146" s="129">
        <v>9</v>
      </c>
      <c r="G146" s="166">
        <v>6</v>
      </c>
      <c r="H146" s="167">
        <f t="shared" si="25"/>
        <v>1.7695680965781104</v>
      </c>
      <c r="I146" s="167">
        <f t="shared" si="39"/>
        <v>0.49117878822913336</v>
      </c>
      <c r="J146" s="168">
        <f t="shared" si="36"/>
        <v>2.9470727293748</v>
      </c>
      <c r="K146" s="175">
        <f t="shared" si="41"/>
        <v>10.617408579468663</v>
      </c>
      <c r="L146" s="174">
        <f t="shared" si="43"/>
        <v>-7.6703358500938625</v>
      </c>
      <c r="M146" s="171">
        <f t="shared" si="26"/>
        <v>-0.61475657161318942</v>
      </c>
      <c r="N146" s="172">
        <f t="shared" si="27"/>
        <v>-8.2850924217070521</v>
      </c>
      <c r="O146" s="171">
        <v>0</v>
      </c>
      <c r="P146" s="171">
        <v>0</v>
      </c>
      <c r="Q146" s="171">
        <v>0</v>
      </c>
      <c r="R146" s="172">
        <f t="shared" si="28"/>
        <v>-8.2850924217070521</v>
      </c>
    </row>
    <row r="147" spans="1:19" x14ac:dyDescent="0.25">
      <c r="A147" s="129">
        <v>8</v>
      </c>
      <c r="B147" s="164">
        <f t="shared" si="35"/>
        <v>45505</v>
      </c>
      <c r="C147" s="184">
        <f t="shared" si="42"/>
        <v>45539</v>
      </c>
      <c r="D147" s="184">
        <f t="shared" si="42"/>
        <v>45559</v>
      </c>
      <c r="E147" s="52" t="s">
        <v>16</v>
      </c>
      <c r="F147" s="129">
        <v>9</v>
      </c>
      <c r="G147" s="166">
        <v>6</v>
      </c>
      <c r="H147" s="167">
        <f t="shared" si="25"/>
        <v>1.7695680965781104</v>
      </c>
      <c r="I147" s="167">
        <f t="shared" si="39"/>
        <v>0.49117878822913336</v>
      </c>
      <c r="J147" s="168">
        <f t="shared" si="36"/>
        <v>2.9470727293748</v>
      </c>
      <c r="K147" s="175">
        <f t="shared" si="41"/>
        <v>10.617408579468663</v>
      </c>
      <c r="L147" s="174">
        <f t="shared" si="43"/>
        <v>-7.6703358500938625</v>
      </c>
      <c r="M147" s="171">
        <f t="shared" si="26"/>
        <v>-0.61475657161318942</v>
      </c>
      <c r="N147" s="172">
        <f t="shared" si="27"/>
        <v>-8.2850924217070521</v>
      </c>
      <c r="O147" s="171">
        <v>0</v>
      </c>
      <c r="P147" s="171">
        <v>0</v>
      </c>
      <c r="Q147" s="171">
        <v>0</v>
      </c>
      <c r="R147" s="172">
        <f t="shared" si="28"/>
        <v>-8.2850924217070521</v>
      </c>
    </row>
    <row r="148" spans="1:19" x14ac:dyDescent="0.25">
      <c r="A148" s="129">
        <v>9</v>
      </c>
      <c r="B148" s="164">
        <f t="shared" si="35"/>
        <v>45536</v>
      </c>
      <c r="C148" s="184">
        <f t="shared" si="42"/>
        <v>45568</v>
      </c>
      <c r="D148" s="184">
        <f t="shared" si="42"/>
        <v>45589</v>
      </c>
      <c r="E148" s="52" t="s">
        <v>16</v>
      </c>
      <c r="F148" s="129">
        <v>9</v>
      </c>
      <c r="G148" s="166">
        <v>3</v>
      </c>
      <c r="H148" s="167">
        <f t="shared" si="25"/>
        <v>1.7695680965781104</v>
      </c>
      <c r="I148" s="167">
        <f t="shared" ref="I148:I179" si="44">$J$3</f>
        <v>0.49117878822913336</v>
      </c>
      <c r="J148" s="168">
        <f t="shared" si="36"/>
        <v>1.4735363646874</v>
      </c>
      <c r="K148" s="175">
        <f t="shared" si="41"/>
        <v>5.3087042897343313</v>
      </c>
      <c r="L148" s="174">
        <f t="shared" si="43"/>
        <v>-3.8351679250469313</v>
      </c>
      <c r="M148" s="171">
        <f t="shared" si="26"/>
        <v>-0.30737828580659471</v>
      </c>
      <c r="N148" s="172">
        <f t="shared" si="27"/>
        <v>-4.142546210853526</v>
      </c>
      <c r="O148" s="171">
        <v>0</v>
      </c>
      <c r="P148" s="171">
        <v>0</v>
      </c>
      <c r="Q148" s="171">
        <v>0</v>
      </c>
      <c r="R148" s="172">
        <f t="shared" si="28"/>
        <v>-4.142546210853526</v>
      </c>
    </row>
    <row r="149" spans="1:19" x14ac:dyDescent="0.25">
      <c r="A149" s="93">
        <v>10</v>
      </c>
      <c r="B149" s="164">
        <f t="shared" ref="B149:B211" si="45">DATE($R$1,A149,1)</f>
        <v>45566</v>
      </c>
      <c r="C149" s="184">
        <f t="shared" si="42"/>
        <v>45601</v>
      </c>
      <c r="D149" s="184">
        <f t="shared" si="42"/>
        <v>45621</v>
      </c>
      <c r="E149" s="52" t="s">
        <v>16</v>
      </c>
      <c r="F149" s="129">
        <v>9</v>
      </c>
      <c r="G149" s="166">
        <v>6</v>
      </c>
      <c r="H149" s="167">
        <f t="shared" ref="H149:H211" si="46">+$K$3</f>
        <v>1.7695680965781104</v>
      </c>
      <c r="I149" s="167">
        <f t="shared" si="44"/>
        <v>0.49117878822913336</v>
      </c>
      <c r="J149" s="168">
        <f t="shared" ref="J149:J211" si="47">+$G149*I149</f>
        <v>2.9470727293748</v>
      </c>
      <c r="K149" s="175">
        <f t="shared" si="41"/>
        <v>10.617408579468663</v>
      </c>
      <c r="L149" s="174">
        <f t="shared" si="43"/>
        <v>-7.6703358500938625</v>
      </c>
      <c r="M149" s="171">
        <f t="shared" ref="M149:M211" si="48">G149/$G$212*$M$14</f>
        <v>-0.61475657161318942</v>
      </c>
      <c r="N149" s="172">
        <f t="shared" ref="N149:N211" si="49">SUM(L149:M149)</f>
        <v>-8.2850924217070521</v>
      </c>
      <c r="O149" s="171">
        <v>0</v>
      </c>
      <c r="P149" s="171">
        <v>0</v>
      </c>
      <c r="Q149" s="171">
        <v>0</v>
      </c>
      <c r="R149" s="172">
        <f t="shared" ref="R149:R211" si="50">+N149-Q149</f>
        <v>-8.2850924217070521</v>
      </c>
    </row>
    <row r="150" spans="1:19" x14ac:dyDescent="0.25">
      <c r="A150" s="129">
        <v>11</v>
      </c>
      <c r="B150" s="164">
        <f t="shared" si="45"/>
        <v>45597</v>
      </c>
      <c r="C150" s="184">
        <f t="shared" si="42"/>
        <v>45630</v>
      </c>
      <c r="D150" s="184">
        <f t="shared" si="42"/>
        <v>45650</v>
      </c>
      <c r="E150" s="52" t="s">
        <v>16</v>
      </c>
      <c r="F150" s="129">
        <v>9</v>
      </c>
      <c r="G150" s="166">
        <v>1</v>
      </c>
      <c r="H150" s="167">
        <f t="shared" si="46"/>
        <v>1.7695680965781104</v>
      </c>
      <c r="I150" s="167">
        <f t="shared" si="44"/>
        <v>0.49117878822913336</v>
      </c>
      <c r="J150" s="168">
        <f t="shared" si="47"/>
        <v>0.49117878822913336</v>
      </c>
      <c r="K150" s="175">
        <f t="shared" si="41"/>
        <v>1.7695680965781104</v>
      </c>
      <c r="L150" s="174">
        <f t="shared" si="43"/>
        <v>-1.278389308348977</v>
      </c>
      <c r="M150" s="171">
        <f t="shared" si="48"/>
        <v>-0.10245942860219824</v>
      </c>
      <c r="N150" s="172">
        <f t="shared" si="49"/>
        <v>-1.3808487369511753</v>
      </c>
      <c r="O150" s="171">
        <v>0</v>
      </c>
      <c r="P150" s="171">
        <v>0</v>
      </c>
      <c r="Q150" s="171">
        <v>0</v>
      </c>
      <c r="R150" s="172">
        <f t="shared" si="50"/>
        <v>-1.3808487369511753</v>
      </c>
    </row>
    <row r="151" spans="1:19" s="188" customFormat="1" x14ac:dyDescent="0.25">
      <c r="A151" s="129">
        <v>12</v>
      </c>
      <c r="B151" s="186">
        <f t="shared" si="45"/>
        <v>45627</v>
      </c>
      <c r="C151" s="184">
        <f t="shared" si="42"/>
        <v>45660</v>
      </c>
      <c r="D151" s="184">
        <f t="shared" si="42"/>
        <v>45681</v>
      </c>
      <c r="E151" s="187" t="s">
        <v>16</v>
      </c>
      <c r="F151" s="140">
        <v>9</v>
      </c>
      <c r="G151" s="166">
        <v>3</v>
      </c>
      <c r="H151" s="176">
        <f t="shared" si="46"/>
        <v>1.7695680965781104</v>
      </c>
      <c r="I151" s="176">
        <f t="shared" si="44"/>
        <v>0.49117878822913336</v>
      </c>
      <c r="J151" s="177">
        <f t="shared" si="47"/>
        <v>1.4735363646874</v>
      </c>
      <c r="K151" s="178">
        <f t="shared" si="41"/>
        <v>5.3087042897343313</v>
      </c>
      <c r="L151" s="179">
        <f t="shared" si="43"/>
        <v>-3.8351679250469313</v>
      </c>
      <c r="M151" s="171">
        <f t="shared" si="48"/>
        <v>-0.30737828580659471</v>
      </c>
      <c r="N151" s="172">
        <f t="shared" si="49"/>
        <v>-4.142546210853526</v>
      </c>
      <c r="O151" s="171">
        <v>0</v>
      </c>
      <c r="P151" s="171">
        <v>0</v>
      </c>
      <c r="Q151" s="171">
        <v>0</v>
      </c>
      <c r="R151" s="172">
        <f t="shared" si="50"/>
        <v>-4.142546210853526</v>
      </c>
    </row>
    <row r="152" spans="1:19" x14ac:dyDescent="0.25">
      <c r="A152" s="93">
        <v>1</v>
      </c>
      <c r="B152" s="164">
        <f t="shared" si="45"/>
        <v>45292</v>
      </c>
      <c r="C152" s="181">
        <f t="shared" ref="C152:D171" si="51">+C140</f>
        <v>45327</v>
      </c>
      <c r="D152" s="181">
        <f t="shared" si="51"/>
        <v>45348</v>
      </c>
      <c r="E152" s="191" t="s">
        <v>56</v>
      </c>
      <c r="F152" s="93">
        <v>9</v>
      </c>
      <c r="G152" s="166">
        <v>145</v>
      </c>
      <c r="H152" s="167">
        <f t="shared" si="46"/>
        <v>1.7695680965781104</v>
      </c>
      <c r="I152" s="167">
        <f t="shared" si="44"/>
        <v>0.49117878822913336</v>
      </c>
      <c r="J152" s="168">
        <f t="shared" si="47"/>
        <v>71.220924293224343</v>
      </c>
      <c r="K152" s="169">
        <f t="shared" si="41"/>
        <v>256.58737400382603</v>
      </c>
      <c r="L152" s="170">
        <f t="shared" si="43"/>
        <v>-185.36644971060167</v>
      </c>
      <c r="M152" s="171">
        <f t="shared" si="48"/>
        <v>-14.856617147318744</v>
      </c>
      <c r="N152" s="172">
        <f t="shared" si="49"/>
        <v>-200.2230668579204</v>
      </c>
      <c r="O152" s="171">
        <v>0</v>
      </c>
      <c r="P152" s="171">
        <v>0</v>
      </c>
      <c r="Q152" s="171">
        <v>0</v>
      </c>
      <c r="R152" s="172">
        <f t="shared" si="50"/>
        <v>-200.2230668579204</v>
      </c>
    </row>
    <row r="153" spans="1:19" x14ac:dyDescent="0.25">
      <c r="A153" s="129">
        <v>2</v>
      </c>
      <c r="B153" s="164">
        <f t="shared" si="45"/>
        <v>45323</v>
      </c>
      <c r="C153" s="184">
        <f t="shared" si="51"/>
        <v>45356</v>
      </c>
      <c r="D153" s="184">
        <f t="shared" si="51"/>
        <v>45376</v>
      </c>
      <c r="E153" s="192" t="s">
        <v>56</v>
      </c>
      <c r="F153" s="129">
        <v>9</v>
      </c>
      <c r="G153" s="166">
        <v>100</v>
      </c>
      <c r="H153" s="167">
        <f t="shared" si="46"/>
        <v>1.7695680965781104</v>
      </c>
      <c r="I153" s="167">
        <f t="shared" si="44"/>
        <v>0.49117878822913336</v>
      </c>
      <c r="J153" s="168">
        <f t="shared" si="47"/>
        <v>49.117878822913333</v>
      </c>
      <c r="K153" s="169">
        <f t="shared" si="41"/>
        <v>176.95680965781105</v>
      </c>
      <c r="L153" s="170">
        <f t="shared" si="43"/>
        <v>-127.83893083489772</v>
      </c>
      <c r="M153" s="171">
        <f t="shared" si="48"/>
        <v>-10.245942860219824</v>
      </c>
      <c r="N153" s="172">
        <f t="shared" si="49"/>
        <v>-138.08487369511755</v>
      </c>
      <c r="O153" s="171">
        <v>0</v>
      </c>
      <c r="P153" s="171">
        <v>0</v>
      </c>
      <c r="Q153" s="171">
        <v>0</v>
      </c>
      <c r="R153" s="172">
        <f t="shared" si="50"/>
        <v>-138.08487369511755</v>
      </c>
    </row>
    <row r="154" spans="1:19" x14ac:dyDescent="0.25">
      <c r="A154" s="129">
        <v>3</v>
      </c>
      <c r="B154" s="164">
        <f t="shared" si="45"/>
        <v>45352</v>
      </c>
      <c r="C154" s="184">
        <f t="shared" si="51"/>
        <v>45385</v>
      </c>
      <c r="D154" s="184">
        <f t="shared" si="51"/>
        <v>45406</v>
      </c>
      <c r="E154" s="192" t="s">
        <v>56</v>
      </c>
      <c r="F154" s="129">
        <v>9</v>
      </c>
      <c r="G154" s="166">
        <v>92</v>
      </c>
      <c r="H154" s="167">
        <f t="shared" si="46"/>
        <v>1.7695680965781104</v>
      </c>
      <c r="I154" s="167">
        <f t="shared" si="44"/>
        <v>0.49117878822913336</v>
      </c>
      <c r="J154" s="168">
        <f t="shared" si="47"/>
        <v>45.188448517080268</v>
      </c>
      <c r="K154" s="169">
        <f t="shared" si="41"/>
        <v>162.80026488518615</v>
      </c>
      <c r="L154" s="170">
        <f>+J154-K154</f>
        <v>-117.61181636810588</v>
      </c>
      <c r="M154" s="171">
        <f t="shared" si="48"/>
        <v>-9.4262674314022377</v>
      </c>
      <c r="N154" s="172">
        <f t="shared" si="49"/>
        <v>-127.03808379950812</v>
      </c>
      <c r="O154" s="171">
        <v>0</v>
      </c>
      <c r="P154" s="171">
        <v>0</v>
      </c>
      <c r="Q154" s="171">
        <v>0</v>
      </c>
      <c r="R154" s="172">
        <f t="shared" si="50"/>
        <v>-127.03808379950812</v>
      </c>
    </row>
    <row r="155" spans="1:19" x14ac:dyDescent="0.25">
      <c r="A155" s="93">
        <v>4</v>
      </c>
      <c r="B155" s="164">
        <f t="shared" si="45"/>
        <v>45383</v>
      </c>
      <c r="C155" s="184">
        <f t="shared" si="51"/>
        <v>45415</v>
      </c>
      <c r="D155" s="184">
        <f t="shared" si="51"/>
        <v>45436</v>
      </c>
      <c r="E155" s="192" t="s">
        <v>56</v>
      </c>
      <c r="F155" s="129">
        <v>9</v>
      </c>
      <c r="G155" s="166">
        <v>101</v>
      </c>
      <c r="H155" s="167">
        <f t="shared" si="46"/>
        <v>1.7695680965781104</v>
      </c>
      <c r="I155" s="167">
        <f t="shared" si="44"/>
        <v>0.49117878822913336</v>
      </c>
      <c r="J155" s="168">
        <f t="shared" si="47"/>
        <v>49.609057611142468</v>
      </c>
      <c r="K155" s="169">
        <f t="shared" si="41"/>
        <v>178.72637775438915</v>
      </c>
      <c r="L155" s="170">
        <f t="shared" ref="L155:L165" si="52">+J155-K155</f>
        <v>-129.11732014324667</v>
      </c>
      <c r="M155" s="171">
        <f t="shared" si="48"/>
        <v>-10.348402288822022</v>
      </c>
      <c r="N155" s="172">
        <f t="shared" si="49"/>
        <v>-139.4657224320687</v>
      </c>
      <c r="O155" s="171">
        <v>0</v>
      </c>
      <c r="P155" s="171">
        <v>0</v>
      </c>
      <c r="Q155" s="171">
        <v>0</v>
      </c>
      <c r="R155" s="172">
        <f t="shared" si="50"/>
        <v>-139.4657224320687</v>
      </c>
    </row>
    <row r="156" spans="1:19" x14ac:dyDescent="0.25">
      <c r="A156" s="129">
        <v>5</v>
      </c>
      <c r="B156" s="164">
        <f t="shared" si="45"/>
        <v>45413</v>
      </c>
      <c r="C156" s="184">
        <f t="shared" si="51"/>
        <v>45448</v>
      </c>
      <c r="D156" s="184">
        <f t="shared" si="51"/>
        <v>45467</v>
      </c>
      <c r="E156" s="192" t="s">
        <v>56</v>
      </c>
      <c r="F156" s="129">
        <v>9</v>
      </c>
      <c r="G156" s="166">
        <v>118</v>
      </c>
      <c r="H156" s="167">
        <f t="shared" si="46"/>
        <v>1.7695680965781104</v>
      </c>
      <c r="I156" s="167">
        <f t="shared" si="44"/>
        <v>0.49117878822913336</v>
      </c>
      <c r="J156" s="168">
        <f t="shared" si="47"/>
        <v>57.959097011037734</v>
      </c>
      <c r="K156" s="169">
        <f t="shared" si="41"/>
        <v>208.80903539621704</v>
      </c>
      <c r="L156" s="170">
        <f t="shared" si="52"/>
        <v>-150.84993838517931</v>
      </c>
      <c r="M156" s="171">
        <f t="shared" si="48"/>
        <v>-12.090212575059391</v>
      </c>
      <c r="N156" s="172">
        <f t="shared" si="49"/>
        <v>-162.9401509602387</v>
      </c>
      <c r="O156" s="171">
        <v>0</v>
      </c>
      <c r="P156" s="171">
        <v>0</v>
      </c>
      <c r="Q156" s="171">
        <v>0</v>
      </c>
      <c r="R156" s="172">
        <f t="shared" si="50"/>
        <v>-162.9401509602387</v>
      </c>
    </row>
    <row r="157" spans="1:19" x14ac:dyDescent="0.25">
      <c r="A157" s="129">
        <v>6</v>
      </c>
      <c r="B157" s="164">
        <f t="shared" si="45"/>
        <v>45444</v>
      </c>
      <c r="C157" s="184">
        <f t="shared" si="51"/>
        <v>45476</v>
      </c>
      <c r="D157" s="184">
        <f t="shared" si="51"/>
        <v>45497</v>
      </c>
      <c r="E157" s="192" t="s">
        <v>56</v>
      </c>
      <c r="F157" s="129">
        <v>9</v>
      </c>
      <c r="G157" s="166">
        <v>173</v>
      </c>
      <c r="H157" s="167">
        <f t="shared" si="46"/>
        <v>1.7695680965781104</v>
      </c>
      <c r="I157" s="167">
        <f t="shared" si="44"/>
        <v>0.49117878822913336</v>
      </c>
      <c r="J157" s="168">
        <f t="shared" si="47"/>
        <v>84.973930363640065</v>
      </c>
      <c r="K157" s="169">
        <f t="shared" si="41"/>
        <v>306.13528070801311</v>
      </c>
      <c r="L157" s="174">
        <f t="shared" si="52"/>
        <v>-221.16135034437303</v>
      </c>
      <c r="M157" s="171">
        <f t="shared" si="48"/>
        <v>-17.725481148180293</v>
      </c>
      <c r="N157" s="172">
        <f t="shared" si="49"/>
        <v>-238.88683149255331</v>
      </c>
      <c r="O157" s="171">
        <v>0</v>
      </c>
      <c r="P157" s="171">
        <v>0</v>
      </c>
      <c r="Q157" s="171">
        <v>0</v>
      </c>
      <c r="R157" s="172">
        <f t="shared" si="50"/>
        <v>-238.88683149255331</v>
      </c>
    </row>
    <row r="158" spans="1:19" x14ac:dyDescent="0.25">
      <c r="A158" s="93">
        <v>7</v>
      </c>
      <c r="B158" s="164">
        <f t="shared" si="45"/>
        <v>45474</v>
      </c>
      <c r="C158" s="184">
        <f t="shared" si="51"/>
        <v>45509</v>
      </c>
      <c r="D158" s="184">
        <f t="shared" si="51"/>
        <v>45530</v>
      </c>
      <c r="E158" s="192" t="s">
        <v>56</v>
      </c>
      <c r="F158" s="129">
        <v>9</v>
      </c>
      <c r="G158" s="166">
        <v>164</v>
      </c>
      <c r="H158" s="167">
        <f t="shared" si="46"/>
        <v>1.7695680965781104</v>
      </c>
      <c r="I158" s="167">
        <f t="shared" si="44"/>
        <v>0.49117878822913336</v>
      </c>
      <c r="J158" s="168">
        <f t="shared" si="47"/>
        <v>80.553321269577864</v>
      </c>
      <c r="K158" s="175">
        <f t="shared" si="41"/>
        <v>290.20916783881012</v>
      </c>
      <c r="L158" s="174">
        <f t="shared" si="52"/>
        <v>-209.65584656923227</v>
      </c>
      <c r="M158" s="171">
        <f t="shared" si="48"/>
        <v>-16.803346290760512</v>
      </c>
      <c r="N158" s="172">
        <f t="shared" si="49"/>
        <v>-226.45919285999278</v>
      </c>
      <c r="O158" s="171">
        <v>0</v>
      </c>
      <c r="P158" s="171">
        <v>0</v>
      </c>
      <c r="Q158" s="171">
        <v>0</v>
      </c>
      <c r="R158" s="172">
        <f t="shared" si="50"/>
        <v>-226.45919285999278</v>
      </c>
    </row>
    <row r="159" spans="1:19" x14ac:dyDescent="0.25">
      <c r="A159" s="129">
        <v>8</v>
      </c>
      <c r="B159" s="164">
        <f t="shared" si="45"/>
        <v>45505</v>
      </c>
      <c r="C159" s="184">
        <f t="shared" si="51"/>
        <v>45539</v>
      </c>
      <c r="D159" s="184">
        <f t="shared" si="51"/>
        <v>45559</v>
      </c>
      <c r="E159" s="192" t="s">
        <v>56</v>
      </c>
      <c r="F159" s="93">
        <v>9</v>
      </c>
      <c r="G159" s="166">
        <v>170</v>
      </c>
      <c r="H159" s="167">
        <f t="shared" si="46"/>
        <v>1.7695680965781104</v>
      </c>
      <c r="I159" s="167">
        <f t="shared" si="44"/>
        <v>0.49117878822913336</v>
      </c>
      <c r="J159" s="168">
        <f t="shared" si="47"/>
        <v>83.500393998952674</v>
      </c>
      <c r="K159" s="175">
        <f t="shared" si="41"/>
        <v>300.82657641827876</v>
      </c>
      <c r="L159" s="174">
        <f t="shared" si="52"/>
        <v>-217.32618241932607</v>
      </c>
      <c r="M159" s="171">
        <f t="shared" si="48"/>
        <v>-17.418102862373701</v>
      </c>
      <c r="N159" s="172">
        <f t="shared" si="49"/>
        <v>-234.74428528169977</v>
      </c>
      <c r="O159" s="171">
        <v>0</v>
      </c>
      <c r="P159" s="171">
        <v>0</v>
      </c>
      <c r="Q159" s="171">
        <v>0</v>
      </c>
      <c r="R159" s="172">
        <f t="shared" si="50"/>
        <v>-234.74428528169977</v>
      </c>
      <c r="S159" s="50"/>
    </row>
    <row r="160" spans="1:19" x14ac:dyDescent="0.25">
      <c r="A160" s="129">
        <v>9</v>
      </c>
      <c r="B160" s="164">
        <f t="shared" si="45"/>
        <v>45536</v>
      </c>
      <c r="C160" s="184">
        <f t="shared" si="51"/>
        <v>45568</v>
      </c>
      <c r="D160" s="184">
        <f t="shared" si="51"/>
        <v>45589</v>
      </c>
      <c r="E160" s="192" t="s">
        <v>56</v>
      </c>
      <c r="F160" s="93">
        <v>9</v>
      </c>
      <c r="G160" s="166">
        <v>156</v>
      </c>
      <c r="H160" s="167">
        <f t="shared" si="46"/>
        <v>1.7695680965781104</v>
      </c>
      <c r="I160" s="167">
        <f t="shared" si="44"/>
        <v>0.49117878822913336</v>
      </c>
      <c r="J160" s="168">
        <f t="shared" si="47"/>
        <v>76.623890963744799</v>
      </c>
      <c r="K160" s="175">
        <f t="shared" si="41"/>
        <v>276.05262306618522</v>
      </c>
      <c r="L160" s="174">
        <f t="shared" si="52"/>
        <v>-199.42873210244042</v>
      </c>
      <c r="M160" s="171">
        <f t="shared" si="48"/>
        <v>-15.983670861942924</v>
      </c>
      <c r="N160" s="172">
        <f t="shared" si="49"/>
        <v>-215.41240296438335</v>
      </c>
      <c r="O160" s="171">
        <v>0</v>
      </c>
      <c r="P160" s="171">
        <v>0</v>
      </c>
      <c r="Q160" s="171">
        <v>0</v>
      </c>
      <c r="R160" s="172">
        <f t="shared" si="50"/>
        <v>-215.41240296438335</v>
      </c>
    </row>
    <row r="161" spans="1:19" x14ac:dyDescent="0.25">
      <c r="A161" s="93">
        <v>10</v>
      </c>
      <c r="B161" s="164">
        <f t="shared" si="45"/>
        <v>45566</v>
      </c>
      <c r="C161" s="184">
        <f t="shared" si="51"/>
        <v>45601</v>
      </c>
      <c r="D161" s="184">
        <f t="shared" si="51"/>
        <v>45621</v>
      </c>
      <c r="E161" s="192" t="s">
        <v>56</v>
      </c>
      <c r="F161" s="93">
        <v>9</v>
      </c>
      <c r="G161" s="166">
        <v>139</v>
      </c>
      <c r="H161" s="167">
        <f t="shared" si="46"/>
        <v>1.7695680965781104</v>
      </c>
      <c r="I161" s="167">
        <f t="shared" si="44"/>
        <v>0.49117878822913336</v>
      </c>
      <c r="J161" s="168">
        <f t="shared" si="47"/>
        <v>68.273851563849533</v>
      </c>
      <c r="K161" s="175">
        <f t="shared" si="41"/>
        <v>245.96996542435735</v>
      </c>
      <c r="L161" s="174">
        <f t="shared" si="52"/>
        <v>-177.69611386050781</v>
      </c>
      <c r="M161" s="171">
        <f t="shared" si="48"/>
        <v>-14.241860575705555</v>
      </c>
      <c r="N161" s="172">
        <f t="shared" si="49"/>
        <v>-191.93797443621335</v>
      </c>
      <c r="O161" s="171">
        <v>0</v>
      </c>
      <c r="P161" s="171">
        <v>0</v>
      </c>
      <c r="Q161" s="171">
        <v>0</v>
      </c>
      <c r="R161" s="172">
        <f t="shared" si="50"/>
        <v>-191.93797443621335</v>
      </c>
    </row>
    <row r="162" spans="1:19" x14ac:dyDescent="0.25">
      <c r="A162" s="129">
        <v>11</v>
      </c>
      <c r="B162" s="164">
        <f t="shared" si="45"/>
        <v>45597</v>
      </c>
      <c r="C162" s="184">
        <f t="shared" si="51"/>
        <v>45630</v>
      </c>
      <c r="D162" s="184">
        <f t="shared" si="51"/>
        <v>45650</v>
      </c>
      <c r="E162" s="192" t="s">
        <v>56</v>
      </c>
      <c r="F162" s="93">
        <v>9</v>
      </c>
      <c r="G162" s="166">
        <v>90</v>
      </c>
      <c r="H162" s="167">
        <f t="shared" si="46"/>
        <v>1.7695680965781104</v>
      </c>
      <c r="I162" s="167">
        <f t="shared" si="44"/>
        <v>0.49117878822913336</v>
      </c>
      <c r="J162" s="168">
        <f t="shared" si="47"/>
        <v>44.206090940622005</v>
      </c>
      <c r="K162" s="175">
        <f t="shared" si="41"/>
        <v>159.26112869202993</v>
      </c>
      <c r="L162" s="174">
        <f t="shared" si="52"/>
        <v>-115.05503775140792</v>
      </c>
      <c r="M162" s="171">
        <f t="shared" si="48"/>
        <v>-9.221348574197842</v>
      </c>
      <c r="N162" s="172">
        <f t="shared" si="49"/>
        <v>-124.27638632560577</v>
      </c>
      <c r="O162" s="171">
        <v>0</v>
      </c>
      <c r="P162" s="171">
        <v>0</v>
      </c>
      <c r="Q162" s="171">
        <v>0</v>
      </c>
      <c r="R162" s="172">
        <f t="shared" si="50"/>
        <v>-124.27638632560577</v>
      </c>
    </row>
    <row r="163" spans="1:19" s="188" customFormat="1" x14ac:dyDescent="0.25">
      <c r="A163" s="129">
        <v>12</v>
      </c>
      <c r="B163" s="186">
        <f t="shared" si="45"/>
        <v>45627</v>
      </c>
      <c r="C163" s="184">
        <f t="shared" si="51"/>
        <v>45660</v>
      </c>
      <c r="D163" s="184">
        <f t="shared" si="51"/>
        <v>45681</v>
      </c>
      <c r="E163" s="193" t="s">
        <v>56</v>
      </c>
      <c r="F163" s="140">
        <v>9</v>
      </c>
      <c r="G163" s="166">
        <v>110</v>
      </c>
      <c r="H163" s="176">
        <f t="shared" si="46"/>
        <v>1.7695680965781104</v>
      </c>
      <c r="I163" s="176">
        <f t="shared" si="44"/>
        <v>0.49117878822913336</v>
      </c>
      <c r="J163" s="177">
        <f t="shared" si="47"/>
        <v>54.029666705204669</v>
      </c>
      <c r="K163" s="178">
        <f t="shared" si="41"/>
        <v>194.65249062359214</v>
      </c>
      <c r="L163" s="179">
        <f t="shared" si="52"/>
        <v>-140.62282391838747</v>
      </c>
      <c r="M163" s="171">
        <f t="shared" si="48"/>
        <v>-11.270537146241805</v>
      </c>
      <c r="N163" s="172">
        <f t="shared" si="49"/>
        <v>-151.89336106462926</v>
      </c>
      <c r="O163" s="171">
        <v>0</v>
      </c>
      <c r="P163" s="171">
        <v>0</v>
      </c>
      <c r="Q163" s="171">
        <v>0</v>
      </c>
      <c r="R163" s="172">
        <f t="shared" si="50"/>
        <v>-151.89336106462926</v>
      </c>
    </row>
    <row r="164" spans="1:19" x14ac:dyDescent="0.25">
      <c r="A164" s="93">
        <v>1</v>
      </c>
      <c r="B164" s="164">
        <f t="shared" si="45"/>
        <v>45292</v>
      </c>
      <c r="C164" s="181">
        <f t="shared" si="51"/>
        <v>45327</v>
      </c>
      <c r="D164" s="181">
        <f t="shared" si="51"/>
        <v>45348</v>
      </c>
      <c r="E164" s="191" t="s">
        <v>57</v>
      </c>
      <c r="F164" s="93">
        <v>9</v>
      </c>
      <c r="G164" s="166">
        <v>9</v>
      </c>
      <c r="H164" s="167">
        <f t="shared" si="46"/>
        <v>1.7695680965781104</v>
      </c>
      <c r="I164" s="167">
        <f t="shared" si="44"/>
        <v>0.49117878822913336</v>
      </c>
      <c r="J164" s="168">
        <f t="shared" si="47"/>
        <v>4.4206090940622005</v>
      </c>
      <c r="K164" s="169">
        <f t="shared" si="41"/>
        <v>15.926112869202994</v>
      </c>
      <c r="L164" s="170">
        <f t="shared" si="52"/>
        <v>-11.505503775140793</v>
      </c>
      <c r="M164" s="171">
        <f t="shared" si="48"/>
        <v>-0.92213485741978418</v>
      </c>
      <c r="N164" s="172">
        <f t="shared" si="49"/>
        <v>-12.427638632560578</v>
      </c>
      <c r="O164" s="171">
        <v>0</v>
      </c>
      <c r="P164" s="171">
        <v>0</v>
      </c>
      <c r="Q164" s="171">
        <v>0</v>
      </c>
      <c r="R164" s="172">
        <f t="shared" si="50"/>
        <v>-12.427638632560578</v>
      </c>
    </row>
    <row r="165" spans="1:19" x14ac:dyDescent="0.25">
      <c r="A165" s="129">
        <v>2</v>
      </c>
      <c r="B165" s="164">
        <f t="shared" si="45"/>
        <v>45323</v>
      </c>
      <c r="C165" s="184">
        <f t="shared" si="51"/>
        <v>45356</v>
      </c>
      <c r="D165" s="184">
        <f t="shared" si="51"/>
        <v>45376</v>
      </c>
      <c r="E165" s="192" t="s">
        <v>57</v>
      </c>
      <c r="F165" s="129">
        <v>9</v>
      </c>
      <c r="G165" s="166">
        <v>8</v>
      </c>
      <c r="H165" s="167">
        <f t="shared" si="46"/>
        <v>1.7695680965781104</v>
      </c>
      <c r="I165" s="167">
        <f t="shared" si="44"/>
        <v>0.49117878822913336</v>
      </c>
      <c r="J165" s="168">
        <f t="shared" si="47"/>
        <v>3.9294303058330668</v>
      </c>
      <c r="K165" s="169">
        <f t="shared" si="41"/>
        <v>14.156544772624883</v>
      </c>
      <c r="L165" s="170">
        <f t="shared" si="52"/>
        <v>-10.227114466791816</v>
      </c>
      <c r="M165" s="171">
        <f t="shared" si="48"/>
        <v>-0.81967542881758593</v>
      </c>
      <c r="N165" s="172">
        <f t="shared" si="49"/>
        <v>-11.046789895609402</v>
      </c>
      <c r="O165" s="171">
        <v>0</v>
      </c>
      <c r="P165" s="171">
        <v>0</v>
      </c>
      <c r="Q165" s="171">
        <v>0</v>
      </c>
      <c r="R165" s="172">
        <f t="shared" si="50"/>
        <v>-11.046789895609402</v>
      </c>
    </row>
    <row r="166" spans="1:19" x14ac:dyDescent="0.25">
      <c r="A166" s="129">
        <v>3</v>
      </c>
      <c r="B166" s="164">
        <f t="shared" si="45"/>
        <v>45352</v>
      </c>
      <c r="C166" s="184">
        <f t="shared" si="51"/>
        <v>45385</v>
      </c>
      <c r="D166" s="184">
        <f t="shared" si="51"/>
        <v>45406</v>
      </c>
      <c r="E166" s="192" t="s">
        <v>57</v>
      </c>
      <c r="F166" s="129">
        <v>9</v>
      </c>
      <c r="G166" s="166">
        <v>10</v>
      </c>
      <c r="H166" s="167">
        <f t="shared" si="46"/>
        <v>1.7695680965781104</v>
      </c>
      <c r="I166" s="167">
        <f t="shared" si="44"/>
        <v>0.49117878822913336</v>
      </c>
      <c r="J166" s="168">
        <f t="shared" si="47"/>
        <v>4.9117878822913337</v>
      </c>
      <c r="K166" s="169">
        <f t="shared" si="41"/>
        <v>17.695680965781104</v>
      </c>
      <c r="L166" s="170">
        <f>+J166-K166</f>
        <v>-12.783893083489771</v>
      </c>
      <c r="M166" s="171">
        <f t="shared" si="48"/>
        <v>-1.0245942860219823</v>
      </c>
      <c r="N166" s="172">
        <f t="shared" si="49"/>
        <v>-13.808487369511752</v>
      </c>
      <c r="O166" s="171">
        <v>0</v>
      </c>
      <c r="P166" s="171">
        <v>0</v>
      </c>
      <c r="Q166" s="171">
        <v>0</v>
      </c>
      <c r="R166" s="172">
        <f t="shared" si="50"/>
        <v>-13.808487369511752</v>
      </c>
    </row>
    <row r="167" spans="1:19" x14ac:dyDescent="0.25">
      <c r="A167" s="93">
        <v>4</v>
      </c>
      <c r="B167" s="164">
        <f t="shared" si="45"/>
        <v>45383</v>
      </c>
      <c r="C167" s="184">
        <f t="shared" si="51"/>
        <v>45415</v>
      </c>
      <c r="D167" s="184">
        <f t="shared" si="51"/>
        <v>45436</v>
      </c>
      <c r="E167" s="192" t="s">
        <v>57</v>
      </c>
      <c r="F167" s="129">
        <v>9</v>
      </c>
      <c r="G167" s="166">
        <v>7</v>
      </c>
      <c r="H167" s="167">
        <f t="shared" si="46"/>
        <v>1.7695680965781104</v>
      </c>
      <c r="I167" s="167">
        <f t="shared" si="44"/>
        <v>0.49117878822913336</v>
      </c>
      <c r="J167" s="168">
        <f t="shared" si="47"/>
        <v>3.4382515176039337</v>
      </c>
      <c r="K167" s="169">
        <f t="shared" si="41"/>
        <v>12.386976676046773</v>
      </c>
      <c r="L167" s="170">
        <f t="shared" ref="L167:L177" si="53">+J167-K167</f>
        <v>-8.9487251584428389</v>
      </c>
      <c r="M167" s="171">
        <f t="shared" si="48"/>
        <v>-0.71721600021538767</v>
      </c>
      <c r="N167" s="172">
        <f t="shared" si="49"/>
        <v>-9.6659411586582262</v>
      </c>
      <c r="O167" s="171">
        <v>0</v>
      </c>
      <c r="P167" s="171">
        <v>0</v>
      </c>
      <c r="Q167" s="171">
        <v>0</v>
      </c>
      <c r="R167" s="172">
        <f t="shared" si="50"/>
        <v>-9.6659411586582262</v>
      </c>
    </row>
    <row r="168" spans="1:19" x14ac:dyDescent="0.25">
      <c r="A168" s="129">
        <v>5</v>
      </c>
      <c r="B168" s="164">
        <f t="shared" si="45"/>
        <v>45413</v>
      </c>
      <c r="C168" s="184">
        <f t="shared" si="51"/>
        <v>45448</v>
      </c>
      <c r="D168" s="184">
        <f t="shared" si="51"/>
        <v>45467</v>
      </c>
      <c r="E168" s="192" t="s">
        <v>57</v>
      </c>
      <c r="F168" s="129">
        <v>9</v>
      </c>
      <c r="G168" s="166">
        <v>10</v>
      </c>
      <c r="H168" s="167">
        <f t="shared" si="46"/>
        <v>1.7695680965781104</v>
      </c>
      <c r="I168" s="167">
        <f t="shared" si="44"/>
        <v>0.49117878822913336</v>
      </c>
      <c r="J168" s="168">
        <f t="shared" si="47"/>
        <v>4.9117878822913337</v>
      </c>
      <c r="K168" s="169">
        <f t="shared" si="41"/>
        <v>17.695680965781104</v>
      </c>
      <c r="L168" s="170">
        <f t="shared" si="53"/>
        <v>-12.783893083489771</v>
      </c>
      <c r="M168" s="171">
        <f t="shared" si="48"/>
        <v>-1.0245942860219823</v>
      </c>
      <c r="N168" s="172">
        <f t="shared" si="49"/>
        <v>-13.808487369511752</v>
      </c>
      <c r="O168" s="171">
        <v>0</v>
      </c>
      <c r="P168" s="171">
        <v>0</v>
      </c>
      <c r="Q168" s="171">
        <v>0</v>
      </c>
      <c r="R168" s="172">
        <f t="shared" si="50"/>
        <v>-13.808487369511752</v>
      </c>
    </row>
    <row r="169" spans="1:19" x14ac:dyDescent="0.25">
      <c r="A169" s="129">
        <v>6</v>
      </c>
      <c r="B169" s="164">
        <f t="shared" si="45"/>
        <v>45444</v>
      </c>
      <c r="C169" s="184">
        <f t="shared" si="51"/>
        <v>45476</v>
      </c>
      <c r="D169" s="184">
        <f t="shared" si="51"/>
        <v>45497</v>
      </c>
      <c r="E169" s="192" t="s">
        <v>57</v>
      </c>
      <c r="F169" s="129">
        <v>9</v>
      </c>
      <c r="G169" s="166">
        <v>10</v>
      </c>
      <c r="H169" s="167">
        <f t="shared" si="46"/>
        <v>1.7695680965781104</v>
      </c>
      <c r="I169" s="167">
        <f t="shared" si="44"/>
        <v>0.49117878822913336</v>
      </c>
      <c r="J169" s="168">
        <f t="shared" si="47"/>
        <v>4.9117878822913337</v>
      </c>
      <c r="K169" s="169">
        <f t="shared" si="41"/>
        <v>17.695680965781104</v>
      </c>
      <c r="L169" s="174">
        <f t="shared" si="53"/>
        <v>-12.783893083489771</v>
      </c>
      <c r="M169" s="171">
        <f t="shared" si="48"/>
        <v>-1.0245942860219823</v>
      </c>
      <c r="N169" s="172">
        <f t="shared" si="49"/>
        <v>-13.808487369511752</v>
      </c>
      <c r="O169" s="171">
        <v>0</v>
      </c>
      <c r="P169" s="171">
        <v>0</v>
      </c>
      <c r="Q169" s="171">
        <v>0</v>
      </c>
      <c r="R169" s="172">
        <f t="shared" si="50"/>
        <v>-13.808487369511752</v>
      </c>
    </row>
    <row r="170" spans="1:19" x14ac:dyDescent="0.25">
      <c r="A170" s="93">
        <v>7</v>
      </c>
      <c r="B170" s="164">
        <f t="shared" si="45"/>
        <v>45474</v>
      </c>
      <c r="C170" s="184">
        <f t="shared" si="51"/>
        <v>45509</v>
      </c>
      <c r="D170" s="184">
        <f t="shared" si="51"/>
        <v>45530</v>
      </c>
      <c r="E170" s="192" t="s">
        <v>57</v>
      </c>
      <c r="F170" s="129">
        <v>9</v>
      </c>
      <c r="G170" s="166">
        <v>12</v>
      </c>
      <c r="H170" s="167">
        <f t="shared" si="46"/>
        <v>1.7695680965781104</v>
      </c>
      <c r="I170" s="167">
        <f t="shared" si="44"/>
        <v>0.49117878822913336</v>
      </c>
      <c r="J170" s="168">
        <f t="shared" si="47"/>
        <v>5.8941454587496001</v>
      </c>
      <c r="K170" s="175">
        <f t="shared" si="41"/>
        <v>21.234817158937325</v>
      </c>
      <c r="L170" s="174">
        <f t="shared" si="53"/>
        <v>-15.340671700187725</v>
      </c>
      <c r="M170" s="171">
        <f t="shared" si="48"/>
        <v>-1.2295131432263788</v>
      </c>
      <c r="N170" s="172">
        <f t="shared" si="49"/>
        <v>-16.570184843414104</v>
      </c>
      <c r="O170" s="171">
        <v>0</v>
      </c>
      <c r="P170" s="171">
        <v>0</v>
      </c>
      <c r="Q170" s="171">
        <v>0</v>
      </c>
      <c r="R170" s="172">
        <f t="shared" si="50"/>
        <v>-16.570184843414104</v>
      </c>
    </row>
    <row r="171" spans="1:19" x14ac:dyDescent="0.25">
      <c r="A171" s="129">
        <v>8</v>
      </c>
      <c r="B171" s="164">
        <f t="shared" si="45"/>
        <v>45505</v>
      </c>
      <c r="C171" s="184">
        <f t="shared" si="51"/>
        <v>45539</v>
      </c>
      <c r="D171" s="184">
        <f t="shared" si="51"/>
        <v>45559</v>
      </c>
      <c r="E171" s="192" t="s">
        <v>57</v>
      </c>
      <c r="F171" s="93">
        <v>9</v>
      </c>
      <c r="G171" s="166">
        <v>12</v>
      </c>
      <c r="H171" s="167">
        <f t="shared" si="46"/>
        <v>1.7695680965781104</v>
      </c>
      <c r="I171" s="167">
        <f t="shared" si="44"/>
        <v>0.49117878822913336</v>
      </c>
      <c r="J171" s="168">
        <f t="shared" si="47"/>
        <v>5.8941454587496001</v>
      </c>
      <c r="K171" s="175">
        <f t="shared" si="41"/>
        <v>21.234817158937325</v>
      </c>
      <c r="L171" s="174">
        <f t="shared" si="53"/>
        <v>-15.340671700187725</v>
      </c>
      <c r="M171" s="171">
        <f t="shared" si="48"/>
        <v>-1.2295131432263788</v>
      </c>
      <c r="N171" s="172">
        <f t="shared" si="49"/>
        <v>-16.570184843414104</v>
      </c>
      <c r="O171" s="171">
        <v>0</v>
      </c>
      <c r="P171" s="171">
        <v>0</v>
      </c>
      <c r="Q171" s="171">
        <v>0</v>
      </c>
      <c r="R171" s="172">
        <f t="shared" si="50"/>
        <v>-16.570184843414104</v>
      </c>
      <c r="S171" s="50"/>
    </row>
    <row r="172" spans="1:19" x14ac:dyDescent="0.25">
      <c r="A172" s="129">
        <v>9</v>
      </c>
      <c r="B172" s="164">
        <f t="shared" si="45"/>
        <v>45536</v>
      </c>
      <c r="C172" s="184">
        <f t="shared" ref="C172:D175" si="54">+C160</f>
        <v>45568</v>
      </c>
      <c r="D172" s="184">
        <f t="shared" si="54"/>
        <v>45589</v>
      </c>
      <c r="E172" s="192" t="s">
        <v>57</v>
      </c>
      <c r="F172" s="93">
        <v>9</v>
      </c>
      <c r="G172" s="166">
        <v>11</v>
      </c>
      <c r="H172" s="167">
        <f t="shared" si="46"/>
        <v>1.7695680965781104</v>
      </c>
      <c r="I172" s="167">
        <f t="shared" si="44"/>
        <v>0.49117878822913336</v>
      </c>
      <c r="J172" s="168">
        <f t="shared" si="47"/>
        <v>5.4029666705204669</v>
      </c>
      <c r="K172" s="175">
        <f t="shared" si="41"/>
        <v>19.465249062359213</v>
      </c>
      <c r="L172" s="174">
        <f t="shared" si="53"/>
        <v>-14.062282391838746</v>
      </c>
      <c r="M172" s="171">
        <f t="shared" si="48"/>
        <v>-1.1270537146241806</v>
      </c>
      <c r="N172" s="172">
        <f t="shared" si="49"/>
        <v>-15.189336106462926</v>
      </c>
      <c r="O172" s="171">
        <v>0</v>
      </c>
      <c r="P172" s="171">
        <v>0</v>
      </c>
      <c r="Q172" s="171">
        <v>0</v>
      </c>
      <c r="R172" s="172">
        <f t="shared" si="50"/>
        <v>-15.189336106462926</v>
      </c>
    </row>
    <row r="173" spans="1:19" x14ac:dyDescent="0.25">
      <c r="A173" s="93">
        <v>10</v>
      </c>
      <c r="B173" s="164">
        <f t="shared" si="45"/>
        <v>45566</v>
      </c>
      <c r="C173" s="184">
        <f t="shared" si="54"/>
        <v>45601</v>
      </c>
      <c r="D173" s="184">
        <f t="shared" si="54"/>
        <v>45621</v>
      </c>
      <c r="E173" s="192" t="s">
        <v>57</v>
      </c>
      <c r="F173" s="93">
        <v>9</v>
      </c>
      <c r="G173" s="166">
        <v>10</v>
      </c>
      <c r="H173" s="167">
        <f t="shared" si="46"/>
        <v>1.7695680965781104</v>
      </c>
      <c r="I173" s="167">
        <f t="shared" si="44"/>
        <v>0.49117878822913336</v>
      </c>
      <c r="J173" s="168">
        <f t="shared" si="47"/>
        <v>4.9117878822913337</v>
      </c>
      <c r="K173" s="175">
        <f t="shared" si="41"/>
        <v>17.695680965781104</v>
      </c>
      <c r="L173" s="174">
        <f t="shared" si="53"/>
        <v>-12.783893083489771</v>
      </c>
      <c r="M173" s="171">
        <f t="shared" si="48"/>
        <v>-1.0245942860219823</v>
      </c>
      <c r="N173" s="172">
        <f t="shared" si="49"/>
        <v>-13.808487369511752</v>
      </c>
      <c r="O173" s="171">
        <v>0</v>
      </c>
      <c r="P173" s="171">
        <v>0</v>
      </c>
      <c r="Q173" s="171">
        <v>0</v>
      </c>
      <c r="R173" s="172">
        <f t="shared" si="50"/>
        <v>-13.808487369511752</v>
      </c>
    </row>
    <row r="174" spans="1:19" x14ac:dyDescent="0.25">
      <c r="A174" s="129">
        <v>11</v>
      </c>
      <c r="B174" s="164">
        <f t="shared" si="45"/>
        <v>45597</v>
      </c>
      <c r="C174" s="184">
        <f t="shared" si="54"/>
        <v>45630</v>
      </c>
      <c r="D174" s="184">
        <f t="shared" si="54"/>
        <v>45650</v>
      </c>
      <c r="E174" s="192" t="s">
        <v>57</v>
      </c>
      <c r="F174" s="93">
        <v>9</v>
      </c>
      <c r="G174" s="166">
        <v>10</v>
      </c>
      <c r="H174" s="167">
        <f t="shared" si="46"/>
        <v>1.7695680965781104</v>
      </c>
      <c r="I174" s="167">
        <f t="shared" si="44"/>
        <v>0.49117878822913336</v>
      </c>
      <c r="J174" s="168">
        <f t="shared" si="47"/>
        <v>4.9117878822913337</v>
      </c>
      <c r="K174" s="175">
        <f t="shared" si="41"/>
        <v>17.695680965781104</v>
      </c>
      <c r="L174" s="174">
        <f t="shared" si="53"/>
        <v>-12.783893083489771</v>
      </c>
      <c r="M174" s="171">
        <f t="shared" si="48"/>
        <v>-1.0245942860219823</v>
      </c>
      <c r="N174" s="172">
        <f t="shared" si="49"/>
        <v>-13.808487369511752</v>
      </c>
      <c r="O174" s="171">
        <v>0</v>
      </c>
      <c r="P174" s="171">
        <v>0</v>
      </c>
      <c r="Q174" s="171">
        <v>0</v>
      </c>
      <c r="R174" s="172">
        <f t="shared" si="50"/>
        <v>-13.808487369511752</v>
      </c>
    </row>
    <row r="175" spans="1:19" s="188" customFormat="1" x14ac:dyDescent="0.25">
      <c r="A175" s="129">
        <v>12</v>
      </c>
      <c r="B175" s="186">
        <f t="shared" si="45"/>
        <v>45627</v>
      </c>
      <c r="C175" s="184">
        <f t="shared" si="54"/>
        <v>45660</v>
      </c>
      <c r="D175" s="184">
        <f t="shared" si="54"/>
        <v>45681</v>
      </c>
      <c r="E175" s="193" t="s">
        <v>57</v>
      </c>
      <c r="F175" s="140">
        <v>9</v>
      </c>
      <c r="G175" s="166">
        <v>10</v>
      </c>
      <c r="H175" s="176">
        <f t="shared" si="46"/>
        <v>1.7695680965781104</v>
      </c>
      <c r="I175" s="176">
        <f t="shared" si="44"/>
        <v>0.49117878822913336</v>
      </c>
      <c r="J175" s="177">
        <f t="shared" si="47"/>
        <v>4.9117878822913337</v>
      </c>
      <c r="K175" s="178">
        <f t="shared" si="41"/>
        <v>17.695680965781104</v>
      </c>
      <c r="L175" s="179">
        <f t="shared" si="53"/>
        <v>-12.783893083489771</v>
      </c>
      <c r="M175" s="171">
        <f t="shared" si="48"/>
        <v>-1.0245942860219823</v>
      </c>
      <c r="N175" s="172">
        <f t="shared" si="49"/>
        <v>-13.808487369511752</v>
      </c>
      <c r="O175" s="171">
        <v>0</v>
      </c>
      <c r="P175" s="171">
        <v>0</v>
      </c>
      <c r="Q175" s="171">
        <v>0</v>
      </c>
      <c r="R175" s="172">
        <f t="shared" si="50"/>
        <v>-13.808487369511752</v>
      </c>
    </row>
    <row r="176" spans="1:19" x14ac:dyDescent="0.25">
      <c r="A176" s="93">
        <v>1</v>
      </c>
      <c r="B176" s="164">
        <f t="shared" si="45"/>
        <v>45292</v>
      </c>
      <c r="C176" s="181">
        <f t="shared" ref="C176:D187" si="55">+C152</f>
        <v>45327</v>
      </c>
      <c r="D176" s="181">
        <f t="shared" si="55"/>
        <v>45348</v>
      </c>
      <c r="E176" s="191" t="s">
        <v>58</v>
      </c>
      <c r="F176" s="129">
        <v>9</v>
      </c>
      <c r="G176" s="166">
        <v>26</v>
      </c>
      <c r="H176" s="167">
        <f t="shared" si="46"/>
        <v>1.7695680965781104</v>
      </c>
      <c r="I176" s="167">
        <f t="shared" si="44"/>
        <v>0.49117878822913336</v>
      </c>
      <c r="J176" s="168">
        <f t="shared" si="47"/>
        <v>12.770648493957466</v>
      </c>
      <c r="K176" s="169">
        <f t="shared" si="41"/>
        <v>46.008770511030875</v>
      </c>
      <c r="L176" s="170">
        <f t="shared" si="53"/>
        <v>-33.238122017073408</v>
      </c>
      <c r="M176" s="171">
        <f t="shared" si="48"/>
        <v>-2.6639451436571542</v>
      </c>
      <c r="N176" s="172">
        <f t="shared" si="49"/>
        <v>-35.90206716073056</v>
      </c>
      <c r="O176" s="171">
        <v>0</v>
      </c>
      <c r="P176" s="171">
        <v>0</v>
      </c>
      <c r="Q176" s="171">
        <v>0</v>
      </c>
      <c r="R176" s="172">
        <f t="shared" si="50"/>
        <v>-35.90206716073056</v>
      </c>
    </row>
    <row r="177" spans="1:18" x14ac:dyDescent="0.25">
      <c r="A177" s="129">
        <v>2</v>
      </c>
      <c r="B177" s="164">
        <f t="shared" si="45"/>
        <v>45323</v>
      </c>
      <c r="C177" s="184">
        <f t="shared" si="55"/>
        <v>45356</v>
      </c>
      <c r="D177" s="184">
        <f t="shared" si="55"/>
        <v>45376</v>
      </c>
      <c r="E177" s="52" t="s">
        <v>58</v>
      </c>
      <c r="F177" s="129">
        <v>9</v>
      </c>
      <c r="G177" s="166">
        <v>19</v>
      </c>
      <c r="H177" s="167">
        <f t="shared" si="46"/>
        <v>1.7695680965781104</v>
      </c>
      <c r="I177" s="167">
        <f t="shared" si="44"/>
        <v>0.49117878822913336</v>
      </c>
      <c r="J177" s="168">
        <f t="shared" si="47"/>
        <v>9.3323969763535342</v>
      </c>
      <c r="K177" s="169">
        <f t="shared" si="41"/>
        <v>33.621793834984096</v>
      </c>
      <c r="L177" s="170">
        <f t="shared" si="53"/>
        <v>-24.28939685863056</v>
      </c>
      <c r="M177" s="171">
        <f t="shared" si="48"/>
        <v>-1.9467291434417666</v>
      </c>
      <c r="N177" s="172">
        <f t="shared" si="49"/>
        <v>-26.236126002072329</v>
      </c>
      <c r="O177" s="171">
        <v>0</v>
      </c>
      <c r="P177" s="171">
        <v>0</v>
      </c>
      <c r="Q177" s="171">
        <v>0</v>
      </c>
      <c r="R177" s="172">
        <f t="shared" si="50"/>
        <v>-26.236126002072329</v>
      </c>
    </row>
    <row r="178" spans="1:18" x14ac:dyDescent="0.25">
      <c r="A178" s="129">
        <v>3</v>
      </c>
      <c r="B178" s="164">
        <f t="shared" si="45"/>
        <v>45352</v>
      </c>
      <c r="C178" s="184">
        <f t="shared" si="55"/>
        <v>45385</v>
      </c>
      <c r="D178" s="184">
        <f t="shared" si="55"/>
        <v>45406</v>
      </c>
      <c r="E178" s="52" t="s">
        <v>58</v>
      </c>
      <c r="F178" s="129">
        <v>9</v>
      </c>
      <c r="G178" s="166">
        <v>18</v>
      </c>
      <c r="H178" s="167">
        <f t="shared" si="46"/>
        <v>1.7695680965781104</v>
      </c>
      <c r="I178" s="167">
        <f t="shared" si="44"/>
        <v>0.49117878822913336</v>
      </c>
      <c r="J178" s="168">
        <f t="shared" si="47"/>
        <v>8.841218188124401</v>
      </c>
      <c r="K178" s="169">
        <f t="shared" si="41"/>
        <v>31.852225738405988</v>
      </c>
      <c r="L178" s="170">
        <f>+J178-K178</f>
        <v>-23.011007550281587</v>
      </c>
      <c r="M178" s="171">
        <f t="shared" si="48"/>
        <v>-1.8442697148395684</v>
      </c>
      <c r="N178" s="172">
        <f t="shared" si="49"/>
        <v>-24.855277265121156</v>
      </c>
      <c r="O178" s="171">
        <v>0</v>
      </c>
      <c r="P178" s="171">
        <v>0</v>
      </c>
      <c r="Q178" s="171">
        <v>0</v>
      </c>
      <c r="R178" s="172">
        <f t="shared" si="50"/>
        <v>-24.855277265121156</v>
      </c>
    </row>
    <row r="179" spans="1:18" x14ac:dyDescent="0.25">
      <c r="A179" s="93">
        <v>4</v>
      </c>
      <c r="B179" s="164">
        <f t="shared" si="45"/>
        <v>45383</v>
      </c>
      <c r="C179" s="184">
        <f t="shared" si="55"/>
        <v>45415</v>
      </c>
      <c r="D179" s="184">
        <f t="shared" si="55"/>
        <v>45436</v>
      </c>
      <c r="E179" s="52" t="s">
        <v>58</v>
      </c>
      <c r="F179" s="129">
        <v>9</v>
      </c>
      <c r="G179" s="166">
        <v>22</v>
      </c>
      <c r="H179" s="167">
        <f t="shared" si="46"/>
        <v>1.7695680965781104</v>
      </c>
      <c r="I179" s="167">
        <f t="shared" si="44"/>
        <v>0.49117878822913336</v>
      </c>
      <c r="J179" s="168">
        <f t="shared" si="47"/>
        <v>10.805933341040934</v>
      </c>
      <c r="K179" s="169">
        <f t="shared" si="41"/>
        <v>38.930498124718426</v>
      </c>
      <c r="L179" s="170">
        <f t="shared" ref="L179:L189" si="56">+J179-K179</f>
        <v>-28.124564783677492</v>
      </c>
      <c r="M179" s="171">
        <f t="shared" si="48"/>
        <v>-2.2541074292483612</v>
      </c>
      <c r="N179" s="172">
        <f t="shared" si="49"/>
        <v>-30.378672212925853</v>
      </c>
      <c r="O179" s="171">
        <v>0</v>
      </c>
      <c r="P179" s="171">
        <v>0</v>
      </c>
      <c r="Q179" s="171">
        <v>0</v>
      </c>
      <c r="R179" s="172">
        <f t="shared" si="50"/>
        <v>-30.378672212925853</v>
      </c>
    </row>
    <row r="180" spans="1:18" x14ac:dyDescent="0.25">
      <c r="A180" s="129">
        <v>5</v>
      </c>
      <c r="B180" s="164">
        <f t="shared" si="45"/>
        <v>45413</v>
      </c>
      <c r="C180" s="184">
        <f t="shared" si="55"/>
        <v>45448</v>
      </c>
      <c r="D180" s="184">
        <f t="shared" si="55"/>
        <v>45467</v>
      </c>
      <c r="E180" s="52" t="s">
        <v>58</v>
      </c>
      <c r="F180" s="129">
        <v>9</v>
      </c>
      <c r="G180" s="166">
        <v>31</v>
      </c>
      <c r="H180" s="167">
        <f t="shared" si="46"/>
        <v>1.7695680965781104</v>
      </c>
      <c r="I180" s="167">
        <f t="shared" ref="I180:I211" si="57">$J$3</f>
        <v>0.49117878822913336</v>
      </c>
      <c r="J180" s="168">
        <f t="shared" si="47"/>
        <v>15.226542435103134</v>
      </c>
      <c r="K180" s="169">
        <f t="shared" si="41"/>
        <v>54.856610993921421</v>
      </c>
      <c r="L180" s="170">
        <f t="shared" si="56"/>
        <v>-39.630068558818287</v>
      </c>
      <c r="M180" s="171">
        <f t="shared" si="48"/>
        <v>-3.176242286668145</v>
      </c>
      <c r="N180" s="172">
        <f t="shared" si="49"/>
        <v>-42.806310845486429</v>
      </c>
      <c r="O180" s="171">
        <v>0</v>
      </c>
      <c r="P180" s="171">
        <v>0</v>
      </c>
      <c r="Q180" s="171">
        <v>0</v>
      </c>
      <c r="R180" s="172">
        <f t="shared" si="50"/>
        <v>-42.806310845486429</v>
      </c>
    </row>
    <row r="181" spans="1:18" x14ac:dyDescent="0.25">
      <c r="A181" s="129">
        <v>6</v>
      </c>
      <c r="B181" s="164">
        <f t="shared" si="45"/>
        <v>45444</v>
      </c>
      <c r="C181" s="184">
        <f t="shared" si="55"/>
        <v>45476</v>
      </c>
      <c r="D181" s="184">
        <f t="shared" si="55"/>
        <v>45497</v>
      </c>
      <c r="E181" s="52" t="s">
        <v>58</v>
      </c>
      <c r="F181" s="129">
        <v>9</v>
      </c>
      <c r="G181" s="166">
        <v>36</v>
      </c>
      <c r="H181" s="167">
        <f t="shared" si="46"/>
        <v>1.7695680965781104</v>
      </c>
      <c r="I181" s="167">
        <f t="shared" si="57"/>
        <v>0.49117878822913336</v>
      </c>
      <c r="J181" s="168">
        <f t="shared" si="47"/>
        <v>17.682436376248802</v>
      </c>
      <c r="K181" s="169">
        <f t="shared" si="41"/>
        <v>63.704451476811975</v>
      </c>
      <c r="L181" s="174">
        <f t="shared" si="56"/>
        <v>-46.022015100563173</v>
      </c>
      <c r="M181" s="171">
        <f t="shared" si="48"/>
        <v>-3.6885394296791367</v>
      </c>
      <c r="N181" s="172">
        <f t="shared" si="49"/>
        <v>-49.710554530242312</v>
      </c>
      <c r="O181" s="171">
        <v>0</v>
      </c>
      <c r="P181" s="171">
        <v>0</v>
      </c>
      <c r="Q181" s="171">
        <v>0</v>
      </c>
      <c r="R181" s="172">
        <f t="shared" si="50"/>
        <v>-49.710554530242312</v>
      </c>
    </row>
    <row r="182" spans="1:18" x14ac:dyDescent="0.25">
      <c r="A182" s="93">
        <v>7</v>
      </c>
      <c r="B182" s="164">
        <f t="shared" si="45"/>
        <v>45474</v>
      </c>
      <c r="C182" s="184">
        <f t="shared" si="55"/>
        <v>45509</v>
      </c>
      <c r="D182" s="184">
        <f t="shared" si="55"/>
        <v>45530</v>
      </c>
      <c r="E182" s="52" t="s">
        <v>58</v>
      </c>
      <c r="F182" s="129">
        <v>9</v>
      </c>
      <c r="G182" s="166">
        <v>38</v>
      </c>
      <c r="H182" s="167">
        <f t="shared" si="46"/>
        <v>1.7695680965781104</v>
      </c>
      <c r="I182" s="167">
        <f t="shared" si="57"/>
        <v>0.49117878822913336</v>
      </c>
      <c r="J182" s="168">
        <f t="shared" si="47"/>
        <v>18.664793952707068</v>
      </c>
      <c r="K182" s="175">
        <f t="shared" si="41"/>
        <v>67.243587669968193</v>
      </c>
      <c r="L182" s="174">
        <f t="shared" si="56"/>
        <v>-48.578793717261121</v>
      </c>
      <c r="M182" s="171">
        <f t="shared" si="48"/>
        <v>-3.8934582868835332</v>
      </c>
      <c r="N182" s="172">
        <f t="shared" si="49"/>
        <v>-52.472252004144657</v>
      </c>
      <c r="O182" s="171">
        <v>0</v>
      </c>
      <c r="P182" s="171">
        <v>0</v>
      </c>
      <c r="Q182" s="171">
        <v>0</v>
      </c>
      <c r="R182" s="172">
        <f t="shared" si="50"/>
        <v>-52.472252004144657</v>
      </c>
    </row>
    <row r="183" spans="1:18" x14ac:dyDescent="0.25">
      <c r="A183" s="129">
        <v>8</v>
      </c>
      <c r="B183" s="164">
        <f t="shared" si="45"/>
        <v>45505</v>
      </c>
      <c r="C183" s="184">
        <f t="shared" si="55"/>
        <v>45539</v>
      </c>
      <c r="D183" s="184">
        <f t="shared" si="55"/>
        <v>45559</v>
      </c>
      <c r="E183" s="52" t="s">
        <v>58</v>
      </c>
      <c r="F183" s="129">
        <v>9</v>
      </c>
      <c r="G183" s="166">
        <v>41</v>
      </c>
      <c r="H183" s="167">
        <f t="shared" si="46"/>
        <v>1.7695680965781104</v>
      </c>
      <c r="I183" s="167">
        <f t="shared" si="57"/>
        <v>0.49117878822913336</v>
      </c>
      <c r="J183" s="168">
        <f t="shared" si="47"/>
        <v>20.138330317394466</v>
      </c>
      <c r="K183" s="175">
        <f t="shared" si="41"/>
        <v>72.552291959702529</v>
      </c>
      <c r="L183" s="174">
        <f t="shared" si="56"/>
        <v>-52.413961642308067</v>
      </c>
      <c r="M183" s="171">
        <f t="shared" si="48"/>
        <v>-4.200836572690128</v>
      </c>
      <c r="N183" s="172">
        <f t="shared" si="49"/>
        <v>-56.614798214998196</v>
      </c>
      <c r="O183" s="171">
        <v>0</v>
      </c>
      <c r="P183" s="171">
        <v>0</v>
      </c>
      <c r="Q183" s="171">
        <v>0</v>
      </c>
      <c r="R183" s="172">
        <f t="shared" si="50"/>
        <v>-56.614798214998196</v>
      </c>
    </row>
    <row r="184" spans="1:18" x14ac:dyDescent="0.25">
      <c r="A184" s="129">
        <v>9</v>
      </c>
      <c r="B184" s="164">
        <f t="shared" si="45"/>
        <v>45536</v>
      </c>
      <c r="C184" s="184">
        <f t="shared" si="55"/>
        <v>45568</v>
      </c>
      <c r="D184" s="184">
        <f t="shared" si="55"/>
        <v>45589</v>
      </c>
      <c r="E184" s="52" t="s">
        <v>58</v>
      </c>
      <c r="F184" s="129">
        <v>9</v>
      </c>
      <c r="G184" s="166">
        <v>29</v>
      </c>
      <c r="H184" s="167">
        <f t="shared" si="46"/>
        <v>1.7695680965781104</v>
      </c>
      <c r="I184" s="167">
        <f t="shared" si="57"/>
        <v>0.49117878822913336</v>
      </c>
      <c r="J184" s="168">
        <f t="shared" si="47"/>
        <v>14.244184858644868</v>
      </c>
      <c r="K184" s="175">
        <f t="shared" si="41"/>
        <v>51.317474800765204</v>
      </c>
      <c r="L184" s="174">
        <f t="shared" si="56"/>
        <v>-37.07328994212034</v>
      </c>
      <c r="M184" s="171">
        <f t="shared" si="48"/>
        <v>-2.9713234294637485</v>
      </c>
      <c r="N184" s="172">
        <f t="shared" si="49"/>
        <v>-40.044613371584092</v>
      </c>
      <c r="O184" s="171">
        <v>0</v>
      </c>
      <c r="P184" s="171">
        <v>0</v>
      </c>
      <c r="Q184" s="171">
        <v>0</v>
      </c>
      <c r="R184" s="172">
        <f t="shared" si="50"/>
        <v>-40.044613371584092</v>
      </c>
    </row>
    <row r="185" spans="1:18" x14ac:dyDescent="0.25">
      <c r="A185" s="93">
        <v>10</v>
      </c>
      <c r="B185" s="164">
        <f t="shared" si="45"/>
        <v>45566</v>
      </c>
      <c r="C185" s="184">
        <f t="shared" si="55"/>
        <v>45601</v>
      </c>
      <c r="D185" s="184">
        <f t="shared" si="55"/>
        <v>45621</v>
      </c>
      <c r="E185" s="52" t="s">
        <v>58</v>
      </c>
      <c r="F185" s="129">
        <v>9</v>
      </c>
      <c r="G185" s="166">
        <v>26</v>
      </c>
      <c r="H185" s="167">
        <f t="shared" si="46"/>
        <v>1.7695680965781104</v>
      </c>
      <c r="I185" s="167">
        <f t="shared" si="57"/>
        <v>0.49117878822913336</v>
      </c>
      <c r="J185" s="168">
        <f t="shared" si="47"/>
        <v>12.770648493957466</v>
      </c>
      <c r="K185" s="175">
        <f t="shared" si="41"/>
        <v>46.008770511030875</v>
      </c>
      <c r="L185" s="174">
        <f t="shared" si="56"/>
        <v>-33.238122017073408</v>
      </c>
      <c r="M185" s="171">
        <f t="shared" si="48"/>
        <v>-2.6639451436571542</v>
      </c>
      <c r="N185" s="172">
        <f t="shared" si="49"/>
        <v>-35.90206716073056</v>
      </c>
      <c r="O185" s="171">
        <v>0</v>
      </c>
      <c r="P185" s="171">
        <v>0</v>
      </c>
      <c r="Q185" s="171">
        <v>0</v>
      </c>
      <c r="R185" s="172">
        <f t="shared" si="50"/>
        <v>-35.90206716073056</v>
      </c>
    </row>
    <row r="186" spans="1:18" x14ac:dyDescent="0.25">
      <c r="A186" s="129">
        <v>11</v>
      </c>
      <c r="B186" s="164">
        <f t="shared" si="45"/>
        <v>45597</v>
      </c>
      <c r="C186" s="184">
        <f t="shared" si="55"/>
        <v>45630</v>
      </c>
      <c r="D186" s="184">
        <f t="shared" si="55"/>
        <v>45650</v>
      </c>
      <c r="E186" s="52" t="s">
        <v>58</v>
      </c>
      <c r="F186" s="129">
        <v>9</v>
      </c>
      <c r="G186" s="166">
        <v>22</v>
      </c>
      <c r="H186" s="167">
        <f t="shared" si="46"/>
        <v>1.7695680965781104</v>
      </c>
      <c r="I186" s="167">
        <f t="shared" si="57"/>
        <v>0.49117878822913336</v>
      </c>
      <c r="J186" s="168">
        <f t="shared" si="47"/>
        <v>10.805933341040934</v>
      </c>
      <c r="K186" s="175">
        <f t="shared" si="41"/>
        <v>38.930498124718426</v>
      </c>
      <c r="L186" s="174">
        <f t="shared" si="56"/>
        <v>-28.124564783677492</v>
      </c>
      <c r="M186" s="171">
        <f t="shared" si="48"/>
        <v>-2.2541074292483612</v>
      </c>
      <c r="N186" s="172">
        <f t="shared" si="49"/>
        <v>-30.378672212925853</v>
      </c>
      <c r="O186" s="171">
        <v>0</v>
      </c>
      <c r="P186" s="171">
        <v>0</v>
      </c>
      <c r="Q186" s="171">
        <v>0</v>
      </c>
      <c r="R186" s="172">
        <f t="shared" si="50"/>
        <v>-30.378672212925853</v>
      </c>
    </row>
    <row r="187" spans="1:18" s="188" customFormat="1" x14ac:dyDescent="0.25">
      <c r="A187" s="129">
        <v>12</v>
      </c>
      <c r="B187" s="186">
        <f t="shared" si="45"/>
        <v>45627</v>
      </c>
      <c r="C187" s="184">
        <f t="shared" si="55"/>
        <v>45660</v>
      </c>
      <c r="D187" s="184">
        <f t="shared" si="55"/>
        <v>45681</v>
      </c>
      <c r="E187" s="187" t="s">
        <v>58</v>
      </c>
      <c r="F187" s="140">
        <v>9</v>
      </c>
      <c r="G187" s="166">
        <v>18</v>
      </c>
      <c r="H187" s="176">
        <f t="shared" si="46"/>
        <v>1.7695680965781104</v>
      </c>
      <c r="I187" s="176">
        <f t="shared" si="57"/>
        <v>0.49117878822913336</v>
      </c>
      <c r="J187" s="177">
        <f t="shared" si="47"/>
        <v>8.841218188124401</v>
      </c>
      <c r="K187" s="178">
        <f t="shared" si="41"/>
        <v>31.852225738405988</v>
      </c>
      <c r="L187" s="179">
        <f t="shared" si="56"/>
        <v>-23.011007550281587</v>
      </c>
      <c r="M187" s="171">
        <f t="shared" si="48"/>
        <v>-1.8442697148395684</v>
      </c>
      <c r="N187" s="172">
        <f t="shared" si="49"/>
        <v>-24.855277265121156</v>
      </c>
      <c r="O187" s="171">
        <v>0</v>
      </c>
      <c r="P187" s="171">
        <v>0</v>
      </c>
      <c r="Q187" s="171">
        <v>0</v>
      </c>
      <c r="R187" s="172">
        <f t="shared" si="50"/>
        <v>-24.855277265121156</v>
      </c>
    </row>
    <row r="188" spans="1:18" x14ac:dyDescent="0.25">
      <c r="A188" s="93">
        <v>1</v>
      </c>
      <c r="B188" s="164">
        <f t="shared" si="45"/>
        <v>45292</v>
      </c>
      <c r="C188" s="181">
        <f t="shared" ref="C188:D211" si="58">+C176</f>
        <v>45327</v>
      </c>
      <c r="D188" s="181">
        <f t="shared" si="58"/>
        <v>45348</v>
      </c>
      <c r="E188" s="165" t="s">
        <v>59</v>
      </c>
      <c r="F188" s="93">
        <v>9</v>
      </c>
      <c r="G188" s="166">
        <v>34</v>
      </c>
      <c r="H188" s="167">
        <f t="shared" si="46"/>
        <v>1.7695680965781104</v>
      </c>
      <c r="I188" s="167">
        <f t="shared" si="57"/>
        <v>0.49117878822913336</v>
      </c>
      <c r="J188" s="168">
        <f t="shared" si="47"/>
        <v>16.700078799790536</v>
      </c>
      <c r="K188" s="169">
        <f t="shared" si="41"/>
        <v>60.165315283655758</v>
      </c>
      <c r="L188" s="170">
        <f t="shared" si="56"/>
        <v>-43.465236483865226</v>
      </c>
      <c r="M188" s="171">
        <f t="shared" si="48"/>
        <v>-3.4836205724747402</v>
      </c>
      <c r="N188" s="172">
        <f t="shared" si="49"/>
        <v>-46.948857056339968</v>
      </c>
      <c r="O188" s="171">
        <v>0</v>
      </c>
      <c r="P188" s="171">
        <v>0</v>
      </c>
      <c r="Q188" s="171">
        <v>0</v>
      </c>
      <c r="R188" s="172">
        <f t="shared" si="50"/>
        <v>-46.948857056339968</v>
      </c>
    </row>
    <row r="189" spans="1:18" x14ac:dyDescent="0.25">
      <c r="A189" s="129">
        <v>2</v>
      </c>
      <c r="B189" s="164">
        <f t="shared" si="45"/>
        <v>45323</v>
      </c>
      <c r="C189" s="184">
        <f t="shared" si="58"/>
        <v>45356</v>
      </c>
      <c r="D189" s="184">
        <f t="shared" si="58"/>
        <v>45376</v>
      </c>
      <c r="E189" s="173" t="s">
        <v>59</v>
      </c>
      <c r="F189" s="129">
        <v>9</v>
      </c>
      <c r="G189" s="166">
        <v>32</v>
      </c>
      <c r="H189" s="167">
        <f t="shared" si="46"/>
        <v>1.7695680965781104</v>
      </c>
      <c r="I189" s="167">
        <f t="shared" si="57"/>
        <v>0.49117878822913336</v>
      </c>
      <c r="J189" s="168">
        <f t="shared" si="47"/>
        <v>15.717721223332267</v>
      </c>
      <c r="K189" s="169">
        <f t="shared" si="41"/>
        <v>56.626179090499534</v>
      </c>
      <c r="L189" s="170">
        <f t="shared" si="56"/>
        <v>-40.908457867167265</v>
      </c>
      <c r="M189" s="171">
        <f t="shared" si="48"/>
        <v>-3.2787017152703437</v>
      </c>
      <c r="N189" s="172">
        <f t="shared" si="49"/>
        <v>-44.187159582437609</v>
      </c>
      <c r="O189" s="171">
        <v>0</v>
      </c>
      <c r="P189" s="171">
        <v>0</v>
      </c>
      <c r="Q189" s="171">
        <v>0</v>
      </c>
      <c r="R189" s="172">
        <f t="shared" si="50"/>
        <v>-44.187159582437609</v>
      </c>
    </row>
    <row r="190" spans="1:18" x14ac:dyDescent="0.25">
      <c r="A190" s="129">
        <v>3</v>
      </c>
      <c r="B190" s="164">
        <f t="shared" si="45"/>
        <v>45352</v>
      </c>
      <c r="C190" s="184">
        <f t="shared" si="58"/>
        <v>45385</v>
      </c>
      <c r="D190" s="184">
        <f t="shared" si="58"/>
        <v>45406</v>
      </c>
      <c r="E190" s="173" t="s">
        <v>59</v>
      </c>
      <c r="F190" s="129">
        <v>9</v>
      </c>
      <c r="G190" s="166">
        <v>32</v>
      </c>
      <c r="H190" s="167">
        <f t="shared" si="46"/>
        <v>1.7695680965781104</v>
      </c>
      <c r="I190" s="167">
        <f t="shared" si="57"/>
        <v>0.49117878822913336</v>
      </c>
      <c r="J190" s="168">
        <f t="shared" si="47"/>
        <v>15.717721223332267</v>
      </c>
      <c r="K190" s="169">
        <f t="shared" si="41"/>
        <v>56.626179090499534</v>
      </c>
      <c r="L190" s="170">
        <f>+J190-K190</f>
        <v>-40.908457867167265</v>
      </c>
      <c r="M190" s="171">
        <f t="shared" si="48"/>
        <v>-3.2787017152703437</v>
      </c>
      <c r="N190" s="172">
        <f t="shared" si="49"/>
        <v>-44.187159582437609</v>
      </c>
      <c r="O190" s="171">
        <v>0</v>
      </c>
      <c r="P190" s="171">
        <v>0</v>
      </c>
      <c r="Q190" s="171">
        <v>0</v>
      </c>
      <c r="R190" s="172">
        <f t="shared" si="50"/>
        <v>-44.187159582437609</v>
      </c>
    </row>
    <row r="191" spans="1:18" x14ac:dyDescent="0.25">
      <c r="A191" s="93">
        <v>4</v>
      </c>
      <c r="B191" s="164">
        <f t="shared" si="45"/>
        <v>45383</v>
      </c>
      <c r="C191" s="184">
        <f t="shared" si="58"/>
        <v>45415</v>
      </c>
      <c r="D191" s="184">
        <f t="shared" si="58"/>
        <v>45436</v>
      </c>
      <c r="E191" s="52" t="s">
        <v>59</v>
      </c>
      <c r="F191" s="129">
        <v>9</v>
      </c>
      <c r="G191" s="166">
        <v>33</v>
      </c>
      <c r="H191" s="167">
        <f t="shared" si="46"/>
        <v>1.7695680965781104</v>
      </c>
      <c r="I191" s="167">
        <f t="shared" si="57"/>
        <v>0.49117878822913336</v>
      </c>
      <c r="J191" s="168">
        <f t="shared" si="47"/>
        <v>16.208900011561401</v>
      </c>
      <c r="K191" s="169">
        <f t="shared" si="41"/>
        <v>58.395747187077646</v>
      </c>
      <c r="L191" s="170">
        <f t="shared" ref="L191:L201" si="59">+J191-K191</f>
        <v>-42.186847175516249</v>
      </c>
      <c r="M191" s="171">
        <f t="shared" si="48"/>
        <v>-3.3811611438725415</v>
      </c>
      <c r="N191" s="172">
        <f t="shared" si="49"/>
        <v>-45.568008319388788</v>
      </c>
      <c r="O191" s="171">
        <v>0</v>
      </c>
      <c r="P191" s="171">
        <v>0</v>
      </c>
      <c r="Q191" s="171">
        <v>0</v>
      </c>
      <c r="R191" s="172">
        <f t="shared" si="50"/>
        <v>-45.568008319388788</v>
      </c>
    </row>
    <row r="192" spans="1:18" x14ac:dyDescent="0.25">
      <c r="A192" s="129">
        <v>5</v>
      </c>
      <c r="B192" s="164">
        <f t="shared" si="45"/>
        <v>45413</v>
      </c>
      <c r="C192" s="184">
        <f t="shared" si="58"/>
        <v>45448</v>
      </c>
      <c r="D192" s="184">
        <f t="shared" si="58"/>
        <v>45467</v>
      </c>
      <c r="E192" s="52" t="s">
        <v>59</v>
      </c>
      <c r="F192" s="129">
        <v>9</v>
      </c>
      <c r="G192" s="166">
        <v>40</v>
      </c>
      <c r="H192" s="167">
        <f t="shared" si="46"/>
        <v>1.7695680965781104</v>
      </c>
      <c r="I192" s="167">
        <f t="shared" si="57"/>
        <v>0.49117878822913336</v>
      </c>
      <c r="J192" s="168">
        <f t="shared" si="47"/>
        <v>19.647151529165335</v>
      </c>
      <c r="K192" s="169">
        <f t="shared" si="41"/>
        <v>70.782723863124417</v>
      </c>
      <c r="L192" s="170">
        <f t="shared" si="59"/>
        <v>-51.135572333959082</v>
      </c>
      <c r="M192" s="171">
        <f t="shared" si="48"/>
        <v>-4.0983771440879293</v>
      </c>
      <c r="N192" s="172">
        <f t="shared" si="49"/>
        <v>-55.233949478047009</v>
      </c>
      <c r="O192" s="171">
        <v>0</v>
      </c>
      <c r="P192" s="171">
        <v>0</v>
      </c>
      <c r="Q192" s="171">
        <v>0</v>
      </c>
      <c r="R192" s="172">
        <f t="shared" si="50"/>
        <v>-55.233949478047009</v>
      </c>
    </row>
    <row r="193" spans="1:18" x14ac:dyDescent="0.25">
      <c r="A193" s="129">
        <v>6</v>
      </c>
      <c r="B193" s="164">
        <f t="shared" si="45"/>
        <v>45444</v>
      </c>
      <c r="C193" s="184">
        <f t="shared" si="58"/>
        <v>45476</v>
      </c>
      <c r="D193" s="184">
        <f t="shared" si="58"/>
        <v>45497</v>
      </c>
      <c r="E193" s="52" t="s">
        <v>59</v>
      </c>
      <c r="F193" s="129">
        <v>9</v>
      </c>
      <c r="G193" s="166">
        <v>47</v>
      </c>
      <c r="H193" s="167">
        <f t="shared" si="46"/>
        <v>1.7695680965781104</v>
      </c>
      <c r="I193" s="167">
        <f t="shared" si="57"/>
        <v>0.49117878822913336</v>
      </c>
      <c r="J193" s="168">
        <f t="shared" si="47"/>
        <v>23.085403046769269</v>
      </c>
      <c r="K193" s="169">
        <f t="shared" si="41"/>
        <v>83.169700539171188</v>
      </c>
      <c r="L193" s="174">
        <f t="shared" si="59"/>
        <v>-60.084297492401916</v>
      </c>
      <c r="M193" s="171">
        <f t="shared" si="48"/>
        <v>-4.8155931443033175</v>
      </c>
      <c r="N193" s="172">
        <f t="shared" si="49"/>
        <v>-64.899890636705237</v>
      </c>
      <c r="O193" s="171">
        <v>0</v>
      </c>
      <c r="P193" s="171">
        <v>0</v>
      </c>
      <c r="Q193" s="171">
        <v>0</v>
      </c>
      <c r="R193" s="172">
        <f t="shared" si="50"/>
        <v>-64.899890636705237</v>
      </c>
    </row>
    <row r="194" spans="1:18" x14ac:dyDescent="0.25">
      <c r="A194" s="93">
        <v>7</v>
      </c>
      <c r="B194" s="164">
        <f t="shared" si="45"/>
        <v>45474</v>
      </c>
      <c r="C194" s="184">
        <f t="shared" si="58"/>
        <v>45509</v>
      </c>
      <c r="D194" s="184">
        <f t="shared" si="58"/>
        <v>45530</v>
      </c>
      <c r="E194" s="52" t="s">
        <v>59</v>
      </c>
      <c r="F194" s="129">
        <v>9</v>
      </c>
      <c r="G194" s="166">
        <v>47</v>
      </c>
      <c r="H194" s="167">
        <f t="shared" si="46"/>
        <v>1.7695680965781104</v>
      </c>
      <c r="I194" s="167">
        <f t="shared" si="57"/>
        <v>0.49117878822913336</v>
      </c>
      <c r="J194" s="168">
        <f t="shared" si="47"/>
        <v>23.085403046769269</v>
      </c>
      <c r="K194" s="175">
        <f t="shared" si="41"/>
        <v>83.169700539171188</v>
      </c>
      <c r="L194" s="174">
        <f t="shared" si="59"/>
        <v>-60.084297492401916</v>
      </c>
      <c r="M194" s="171">
        <f t="shared" si="48"/>
        <v>-4.8155931443033175</v>
      </c>
      <c r="N194" s="172">
        <f t="shared" si="49"/>
        <v>-64.899890636705237</v>
      </c>
      <c r="O194" s="171">
        <v>0</v>
      </c>
      <c r="P194" s="171">
        <v>0</v>
      </c>
      <c r="Q194" s="171">
        <v>0</v>
      </c>
      <c r="R194" s="172">
        <f t="shared" si="50"/>
        <v>-64.899890636705237</v>
      </c>
    </row>
    <row r="195" spans="1:18" x14ac:dyDescent="0.25">
      <c r="A195" s="129">
        <v>8</v>
      </c>
      <c r="B195" s="164">
        <f t="shared" si="45"/>
        <v>45505</v>
      </c>
      <c r="C195" s="184">
        <f t="shared" si="58"/>
        <v>45539</v>
      </c>
      <c r="D195" s="184">
        <f t="shared" si="58"/>
        <v>45559</v>
      </c>
      <c r="E195" s="52" t="s">
        <v>59</v>
      </c>
      <c r="F195" s="129">
        <v>9</v>
      </c>
      <c r="G195" s="166">
        <v>51</v>
      </c>
      <c r="H195" s="167">
        <f t="shared" si="46"/>
        <v>1.7695680965781104</v>
      </c>
      <c r="I195" s="167">
        <f t="shared" si="57"/>
        <v>0.49117878822913336</v>
      </c>
      <c r="J195" s="168">
        <f t="shared" si="47"/>
        <v>25.050118199685802</v>
      </c>
      <c r="K195" s="175">
        <f t="shared" si="41"/>
        <v>90.247972925483637</v>
      </c>
      <c r="L195" s="174">
        <f t="shared" si="59"/>
        <v>-65.197854725797839</v>
      </c>
      <c r="M195" s="171">
        <f t="shared" si="48"/>
        <v>-5.2254308587121097</v>
      </c>
      <c r="N195" s="172">
        <f t="shared" si="49"/>
        <v>-70.423285584509955</v>
      </c>
      <c r="O195" s="171">
        <v>0</v>
      </c>
      <c r="P195" s="171">
        <v>0</v>
      </c>
      <c r="Q195" s="171">
        <v>0</v>
      </c>
      <c r="R195" s="172">
        <f t="shared" si="50"/>
        <v>-70.423285584509955</v>
      </c>
    </row>
    <row r="196" spans="1:18" x14ac:dyDescent="0.25">
      <c r="A196" s="129">
        <v>9</v>
      </c>
      <c r="B196" s="164">
        <f t="shared" si="45"/>
        <v>45536</v>
      </c>
      <c r="C196" s="184">
        <f t="shared" si="58"/>
        <v>45568</v>
      </c>
      <c r="D196" s="184">
        <f t="shared" si="58"/>
        <v>45589</v>
      </c>
      <c r="E196" s="52" t="s">
        <v>59</v>
      </c>
      <c r="F196" s="129">
        <v>9</v>
      </c>
      <c r="G196" s="166">
        <v>43</v>
      </c>
      <c r="H196" s="167">
        <f t="shared" si="46"/>
        <v>1.7695680965781104</v>
      </c>
      <c r="I196" s="167">
        <f t="shared" si="57"/>
        <v>0.49117878822913336</v>
      </c>
      <c r="J196" s="168">
        <f t="shared" si="47"/>
        <v>21.120687893852736</v>
      </c>
      <c r="K196" s="175">
        <f t="shared" si="41"/>
        <v>76.091428152858754</v>
      </c>
      <c r="L196" s="174">
        <f t="shared" si="59"/>
        <v>-54.970740259006021</v>
      </c>
      <c r="M196" s="171">
        <f t="shared" si="48"/>
        <v>-4.4057554298945245</v>
      </c>
      <c r="N196" s="172">
        <f t="shared" si="49"/>
        <v>-59.376495688900548</v>
      </c>
      <c r="O196" s="171">
        <v>0</v>
      </c>
      <c r="P196" s="171">
        <v>0</v>
      </c>
      <c r="Q196" s="171">
        <v>0</v>
      </c>
      <c r="R196" s="172">
        <f t="shared" si="50"/>
        <v>-59.376495688900548</v>
      </c>
    </row>
    <row r="197" spans="1:18" x14ac:dyDescent="0.25">
      <c r="A197" s="93">
        <v>10</v>
      </c>
      <c r="B197" s="164">
        <f t="shared" si="45"/>
        <v>45566</v>
      </c>
      <c r="C197" s="184">
        <f t="shared" si="58"/>
        <v>45601</v>
      </c>
      <c r="D197" s="184">
        <f t="shared" si="58"/>
        <v>45621</v>
      </c>
      <c r="E197" s="52" t="s">
        <v>59</v>
      </c>
      <c r="F197" s="129">
        <v>9</v>
      </c>
      <c r="G197" s="166">
        <v>37</v>
      </c>
      <c r="H197" s="167">
        <f t="shared" si="46"/>
        <v>1.7695680965781104</v>
      </c>
      <c r="I197" s="167">
        <f t="shared" si="57"/>
        <v>0.49117878822913336</v>
      </c>
      <c r="J197" s="168">
        <f t="shared" si="47"/>
        <v>18.173615164477933</v>
      </c>
      <c r="K197" s="175">
        <f t="shared" si="41"/>
        <v>65.47401957339008</v>
      </c>
      <c r="L197" s="174">
        <f t="shared" si="59"/>
        <v>-47.300404408912144</v>
      </c>
      <c r="M197" s="171">
        <f t="shared" si="48"/>
        <v>-3.7909988582813345</v>
      </c>
      <c r="N197" s="172">
        <f t="shared" si="49"/>
        <v>-51.091403267193478</v>
      </c>
      <c r="O197" s="171">
        <v>0</v>
      </c>
      <c r="P197" s="171">
        <v>0</v>
      </c>
      <c r="Q197" s="171">
        <v>0</v>
      </c>
      <c r="R197" s="172">
        <f t="shared" si="50"/>
        <v>-51.091403267193478</v>
      </c>
    </row>
    <row r="198" spans="1:18" x14ac:dyDescent="0.25">
      <c r="A198" s="129">
        <v>11</v>
      </c>
      <c r="B198" s="164">
        <f t="shared" si="45"/>
        <v>45597</v>
      </c>
      <c r="C198" s="184">
        <f t="shared" si="58"/>
        <v>45630</v>
      </c>
      <c r="D198" s="184">
        <f t="shared" si="58"/>
        <v>45650</v>
      </c>
      <c r="E198" s="52" t="s">
        <v>59</v>
      </c>
      <c r="F198" s="129">
        <v>9</v>
      </c>
      <c r="G198" s="166">
        <v>34</v>
      </c>
      <c r="H198" s="167">
        <f t="shared" si="46"/>
        <v>1.7695680965781104</v>
      </c>
      <c r="I198" s="167">
        <f t="shared" si="57"/>
        <v>0.49117878822913336</v>
      </c>
      <c r="J198" s="168">
        <f t="shared" si="47"/>
        <v>16.700078799790536</v>
      </c>
      <c r="K198" s="175">
        <f t="shared" ref="K198:K209" si="60">+$G198*H198</f>
        <v>60.165315283655758</v>
      </c>
      <c r="L198" s="174">
        <f t="shared" si="59"/>
        <v>-43.465236483865226</v>
      </c>
      <c r="M198" s="171">
        <f t="shared" si="48"/>
        <v>-3.4836205724747402</v>
      </c>
      <c r="N198" s="172">
        <f t="shared" si="49"/>
        <v>-46.948857056339968</v>
      </c>
      <c r="O198" s="171">
        <v>0</v>
      </c>
      <c r="P198" s="171">
        <v>0</v>
      </c>
      <c r="Q198" s="171">
        <v>0</v>
      </c>
      <c r="R198" s="172">
        <f t="shared" si="50"/>
        <v>-46.948857056339968</v>
      </c>
    </row>
    <row r="199" spans="1:18" s="188" customFormat="1" x14ac:dyDescent="0.25">
      <c r="A199" s="129">
        <v>12</v>
      </c>
      <c r="B199" s="186">
        <f t="shared" si="45"/>
        <v>45627</v>
      </c>
      <c r="C199" s="184">
        <f t="shared" si="58"/>
        <v>45660</v>
      </c>
      <c r="D199" s="184">
        <f t="shared" si="58"/>
        <v>45681</v>
      </c>
      <c r="E199" s="187" t="s">
        <v>59</v>
      </c>
      <c r="F199" s="140">
        <v>9</v>
      </c>
      <c r="G199" s="166">
        <v>32</v>
      </c>
      <c r="H199" s="176">
        <f t="shared" si="46"/>
        <v>1.7695680965781104</v>
      </c>
      <c r="I199" s="176">
        <f t="shared" si="57"/>
        <v>0.49117878822913336</v>
      </c>
      <c r="J199" s="177">
        <f t="shared" si="47"/>
        <v>15.717721223332267</v>
      </c>
      <c r="K199" s="178">
        <f t="shared" si="60"/>
        <v>56.626179090499534</v>
      </c>
      <c r="L199" s="179">
        <f t="shared" si="59"/>
        <v>-40.908457867167265</v>
      </c>
      <c r="M199" s="171">
        <f t="shared" si="48"/>
        <v>-3.2787017152703437</v>
      </c>
      <c r="N199" s="172">
        <f t="shared" si="49"/>
        <v>-44.187159582437609</v>
      </c>
      <c r="O199" s="171">
        <v>0</v>
      </c>
      <c r="P199" s="171">
        <v>0</v>
      </c>
      <c r="Q199" s="171">
        <v>0</v>
      </c>
      <c r="R199" s="172">
        <f t="shared" si="50"/>
        <v>-44.187159582437609</v>
      </c>
    </row>
    <row r="200" spans="1:18" x14ac:dyDescent="0.25">
      <c r="A200" s="93">
        <v>1</v>
      </c>
      <c r="B200" s="164">
        <f t="shared" si="45"/>
        <v>45292</v>
      </c>
      <c r="C200" s="181">
        <f t="shared" si="58"/>
        <v>45327</v>
      </c>
      <c r="D200" s="181">
        <f t="shared" si="58"/>
        <v>45348</v>
      </c>
      <c r="E200" s="165" t="s">
        <v>17</v>
      </c>
      <c r="F200" s="93">
        <v>9</v>
      </c>
      <c r="G200" s="166">
        <v>104</v>
      </c>
      <c r="H200" s="167">
        <f t="shared" si="46"/>
        <v>1.7695680965781104</v>
      </c>
      <c r="I200" s="167">
        <f t="shared" si="57"/>
        <v>0.49117878822913336</v>
      </c>
      <c r="J200" s="168">
        <f t="shared" si="47"/>
        <v>51.082593975829866</v>
      </c>
      <c r="K200" s="169">
        <f t="shared" si="60"/>
        <v>184.0350820441235</v>
      </c>
      <c r="L200" s="170">
        <f t="shared" si="59"/>
        <v>-132.95248806829363</v>
      </c>
      <c r="M200" s="171">
        <f t="shared" si="48"/>
        <v>-10.655780574628617</v>
      </c>
      <c r="N200" s="172">
        <f t="shared" si="49"/>
        <v>-143.60826864292224</v>
      </c>
      <c r="O200" s="171">
        <v>0</v>
      </c>
      <c r="P200" s="171">
        <v>0</v>
      </c>
      <c r="Q200" s="171">
        <v>0</v>
      </c>
      <c r="R200" s="172">
        <f t="shared" si="50"/>
        <v>-143.60826864292224</v>
      </c>
    </row>
    <row r="201" spans="1:18" x14ac:dyDescent="0.25">
      <c r="A201" s="129">
        <v>2</v>
      </c>
      <c r="B201" s="164">
        <f t="shared" si="45"/>
        <v>45323</v>
      </c>
      <c r="C201" s="184">
        <f t="shared" si="58"/>
        <v>45356</v>
      </c>
      <c r="D201" s="184">
        <f t="shared" si="58"/>
        <v>45376</v>
      </c>
      <c r="E201" s="173" t="s">
        <v>17</v>
      </c>
      <c r="F201" s="129">
        <v>9</v>
      </c>
      <c r="G201" s="166">
        <v>99</v>
      </c>
      <c r="H201" s="167">
        <f t="shared" si="46"/>
        <v>1.7695680965781104</v>
      </c>
      <c r="I201" s="167">
        <f t="shared" si="57"/>
        <v>0.49117878822913336</v>
      </c>
      <c r="J201" s="168">
        <f t="shared" si="47"/>
        <v>48.626700034684205</v>
      </c>
      <c r="K201" s="169">
        <f t="shared" si="60"/>
        <v>175.18724156123292</v>
      </c>
      <c r="L201" s="170">
        <f t="shared" si="59"/>
        <v>-126.56054152654872</v>
      </c>
      <c r="M201" s="171">
        <f t="shared" si="48"/>
        <v>-10.143483431617625</v>
      </c>
      <c r="N201" s="172">
        <f t="shared" si="49"/>
        <v>-136.70402495816634</v>
      </c>
      <c r="O201" s="171">
        <v>0</v>
      </c>
      <c r="P201" s="171">
        <v>0</v>
      </c>
      <c r="Q201" s="171">
        <v>0</v>
      </c>
      <c r="R201" s="172">
        <f t="shared" si="50"/>
        <v>-136.70402495816634</v>
      </c>
    </row>
    <row r="202" spans="1:18" x14ac:dyDescent="0.25">
      <c r="A202" s="129">
        <v>3</v>
      </c>
      <c r="B202" s="164">
        <f t="shared" si="45"/>
        <v>45352</v>
      </c>
      <c r="C202" s="184">
        <f t="shared" si="58"/>
        <v>45385</v>
      </c>
      <c r="D202" s="184">
        <f t="shared" si="58"/>
        <v>45406</v>
      </c>
      <c r="E202" s="173" t="s">
        <v>17</v>
      </c>
      <c r="F202" s="129">
        <v>9</v>
      </c>
      <c r="G202" s="166">
        <v>99</v>
      </c>
      <c r="H202" s="167">
        <f t="shared" si="46"/>
        <v>1.7695680965781104</v>
      </c>
      <c r="I202" s="167">
        <f t="shared" si="57"/>
        <v>0.49117878822913336</v>
      </c>
      <c r="J202" s="168">
        <f t="shared" si="47"/>
        <v>48.626700034684205</v>
      </c>
      <c r="K202" s="169">
        <f t="shared" si="60"/>
        <v>175.18724156123292</v>
      </c>
      <c r="L202" s="170">
        <f>+J202-K202</f>
        <v>-126.56054152654872</v>
      </c>
      <c r="M202" s="171">
        <f t="shared" si="48"/>
        <v>-10.143483431617625</v>
      </c>
      <c r="N202" s="172">
        <f t="shared" si="49"/>
        <v>-136.70402495816634</v>
      </c>
      <c r="O202" s="171">
        <v>0</v>
      </c>
      <c r="P202" s="171">
        <v>0</v>
      </c>
      <c r="Q202" s="171">
        <v>0</v>
      </c>
      <c r="R202" s="172">
        <f t="shared" si="50"/>
        <v>-136.70402495816634</v>
      </c>
    </row>
    <row r="203" spans="1:18" x14ac:dyDescent="0.25">
      <c r="A203" s="93">
        <v>4</v>
      </c>
      <c r="B203" s="164">
        <f t="shared" si="45"/>
        <v>45383</v>
      </c>
      <c r="C203" s="184">
        <f t="shared" si="58"/>
        <v>45415</v>
      </c>
      <c r="D203" s="184">
        <f t="shared" si="58"/>
        <v>45436</v>
      </c>
      <c r="E203" s="173" t="s">
        <v>17</v>
      </c>
      <c r="F203" s="129">
        <v>9</v>
      </c>
      <c r="G203" s="166">
        <v>99</v>
      </c>
      <c r="H203" s="167">
        <f t="shared" si="46"/>
        <v>1.7695680965781104</v>
      </c>
      <c r="I203" s="167">
        <f t="shared" si="57"/>
        <v>0.49117878822913336</v>
      </c>
      <c r="J203" s="168">
        <f t="shared" si="47"/>
        <v>48.626700034684205</v>
      </c>
      <c r="K203" s="169">
        <f t="shared" si="60"/>
        <v>175.18724156123292</v>
      </c>
      <c r="L203" s="170">
        <f t="shared" ref="L203:L211" si="61">+J203-K203</f>
        <v>-126.56054152654872</v>
      </c>
      <c r="M203" s="171">
        <f t="shared" si="48"/>
        <v>-10.143483431617625</v>
      </c>
      <c r="N203" s="172">
        <f t="shared" si="49"/>
        <v>-136.70402495816634</v>
      </c>
      <c r="O203" s="171">
        <v>0</v>
      </c>
      <c r="P203" s="171">
        <v>0</v>
      </c>
      <c r="Q203" s="171">
        <v>0</v>
      </c>
      <c r="R203" s="172">
        <f t="shared" si="50"/>
        <v>-136.70402495816634</v>
      </c>
    </row>
    <row r="204" spans="1:18" x14ac:dyDescent="0.25">
      <c r="A204" s="129">
        <v>5</v>
      </c>
      <c r="B204" s="164">
        <f t="shared" si="45"/>
        <v>45413</v>
      </c>
      <c r="C204" s="184">
        <f t="shared" si="58"/>
        <v>45448</v>
      </c>
      <c r="D204" s="184">
        <f t="shared" si="58"/>
        <v>45467</v>
      </c>
      <c r="E204" s="52" t="s">
        <v>17</v>
      </c>
      <c r="F204" s="129">
        <v>9</v>
      </c>
      <c r="G204" s="166">
        <v>106</v>
      </c>
      <c r="H204" s="167">
        <f t="shared" si="46"/>
        <v>1.7695680965781104</v>
      </c>
      <c r="I204" s="167">
        <f t="shared" si="57"/>
        <v>0.49117878822913336</v>
      </c>
      <c r="J204" s="168">
        <f t="shared" si="47"/>
        <v>52.064951552288136</v>
      </c>
      <c r="K204" s="169">
        <f t="shared" si="60"/>
        <v>187.57421823727969</v>
      </c>
      <c r="L204" s="170">
        <f t="shared" si="61"/>
        <v>-135.50926668499156</v>
      </c>
      <c r="M204" s="171">
        <f t="shared" si="48"/>
        <v>-10.860699431833014</v>
      </c>
      <c r="N204" s="172">
        <f t="shared" si="49"/>
        <v>-146.36996611682457</v>
      </c>
      <c r="O204" s="171">
        <v>0</v>
      </c>
      <c r="P204" s="171">
        <v>0</v>
      </c>
      <c r="Q204" s="171">
        <v>0</v>
      </c>
      <c r="R204" s="172">
        <f t="shared" si="50"/>
        <v>-146.36996611682457</v>
      </c>
    </row>
    <row r="205" spans="1:18" x14ac:dyDescent="0.25">
      <c r="A205" s="129">
        <v>6</v>
      </c>
      <c r="B205" s="164">
        <f t="shared" si="45"/>
        <v>45444</v>
      </c>
      <c r="C205" s="184">
        <f t="shared" si="58"/>
        <v>45476</v>
      </c>
      <c r="D205" s="184">
        <f t="shared" si="58"/>
        <v>45497</v>
      </c>
      <c r="E205" s="52" t="s">
        <v>17</v>
      </c>
      <c r="F205" s="129">
        <v>9</v>
      </c>
      <c r="G205" s="166">
        <v>120</v>
      </c>
      <c r="H205" s="167">
        <f t="shared" si="46"/>
        <v>1.7695680965781104</v>
      </c>
      <c r="I205" s="167">
        <f t="shared" si="57"/>
        <v>0.49117878822913336</v>
      </c>
      <c r="J205" s="168">
        <f t="shared" si="47"/>
        <v>58.941454587496004</v>
      </c>
      <c r="K205" s="169">
        <f t="shared" si="60"/>
        <v>212.34817158937324</v>
      </c>
      <c r="L205" s="174">
        <f t="shared" si="61"/>
        <v>-153.40671700187724</v>
      </c>
      <c r="M205" s="171">
        <f t="shared" si="48"/>
        <v>-12.295131432263789</v>
      </c>
      <c r="N205" s="172">
        <f t="shared" si="49"/>
        <v>-165.70184843414103</v>
      </c>
      <c r="O205" s="171">
        <v>0</v>
      </c>
      <c r="P205" s="171">
        <v>0</v>
      </c>
      <c r="Q205" s="171">
        <v>0</v>
      </c>
      <c r="R205" s="172">
        <f t="shared" si="50"/>
        <v>-165.70184843414103</v>
      </c>
    </row>
    <row r="206" spans="1:18" x14ac:dyDescent="0.25">
      <c r="A206" s="93">
        <v>7</v>
      </c>
      <c r="B206" s="164">
        <f t="shared" si="45"/>
        <v>45474</v>
      </c>
      <c r="C206" s="184">
        <f t="shared" si="58"/>
        <v>45509</v>
      </c>
      <c r="D206" s="184">
        <f t="shared" si="58"/>
        <v>45530</v>
      </c>
      <c r="E206" s="52" t="s">
        <v>17</v>
      </c>
      <c r="F206" s="129">
        <v>9</v>
      </c>
      <c r="G206" s="166">
        <v>117</v>
      </c>
      <c r="H206" s="167">
        <f t="shared" si="46"/>
        <v>1.7695680965781104</v>
      </c>
      <c r="I206" s="167">
        <f t="shared" si="57"/>
        <v>0.49117878822913336</v>
      </c>
      <c r="J206" s="168">
        <f t="shared" si="47"/>
        <v>57.467918222808599</v>
      </c>
      <c r="K206" s="175">
        <f t="shared" si="60"/>
        <v>207.03946729963891</v>
      </c>
      <c r="L206" s="174">
        <f t="shared" si="61"/>
        <v>-149.57154907683031</v>
      </c>
      <c r="M206" s="171">
        <f t="shared" si="48"/>
        <v>-11.987753146457194</v>
      </c>
      <c r="N206" s="172">
        <f t="shared" si="49"/>
        <v>-161.55930222328749</v>
      </c>
      <c r="O206" s="171">
        <v>0</v>
      </c>
      <c r="P206" s="171">
        <v>0</v>
      </c>
      <c r="Q206" s="171">
        <v>0</v>
      </c>
      <c r="R206" s="172">
        <f t="shared" si="50"/>
        <v>-161.55930222328749</v>
      </c>
    </row>
    <row r="207" spans="1:18" x14ac:dyDescent="0.25">
      <c r="A207" s="129">
        <v>8</v>
      </c>
      <c r="B207" s="164">
        <f t="shared" si="45"/>
        <v>45505</v>
      </c>
      <c r="C207" s="184">
        <f t="shared" si="58"/>
        <v>45539</v>
      </c>
      <c r="D207" s="184">
        <f t="shared" si="58"/>
        <v>45559</v>
      </c>
      <c r="E207" s="52" t="s">
        <v>17</v>
      </c>
      <c r="F207" s="129">
        <v>9</v>
      </c>
      <c r="G207" s="166">
        <v>118</v>
      </c>
      <c r="H207" s="167">
        <f t="shared" si="46"/>
        <v>1.7695680965781104</v>
      </c>
      <c r="I207" s="167">
        <f t="shared" si="57"/>
        <v>0.49117878822913336</v>
      </c>
      <c r="J207" s="168">
        <f t="shared" si="47"/>
        <v>57.959097011037734</v>
      </c>
      <c r="K207" s="175">
        <f t="shared" si="60"/>
        <v>208.80903539621704</v>
      </c>
      <c r="L207" s="174">
        <f t="shared" si="61"/>
        <v>-150.84993838517931</v>
      </c>
      <c r="M207" s="171">
        <f t="shared" si="48"/>
        <v>-12.090212575059391</v>
      </c>
      <c r="N207" s="172">
        <f t="shared" si="49"/>
        <v>-162.9401509602387</v>
      </c>
      <c r="O207" s="171">
        <v>0</v>
      </c>
      <c r="P207" s="171">
        <v>0</v>
      </c>
      <c r="Q207" s="171">
        <v>0</v>
      </c>
      <c r="R207" s="172">
        <f t="shared" si="50"/>
        <v>-162.9401509602387</v>
      </c>
    </row>
    <row r="208" spans="1:18" x14ac:dyDescent="0.25">
      <c r="A208" s="129">
        <v>9</v>
      </c>
      <c r="B208" s="164">
        <f t="shared" si="45"/>
        <v>45536</v>
      </c>
      <c r="C208" s="184">
        <f t="shared" si="58"/>
        <v>45568</v>
      </c>
      <c r="D208" s="184">
        <f t="shared" si="58"/>
        <v>45589</v>
      </c>
      <c r="E208" s="52" t="s">
        <v>17</v>
      </c>
      <c r="F208" s="129">
        <v>9</v>
      </c>
      <c r="G208" s="166">
        <v>117</v>
      </c>
      <c r="H208" s="167">
        <f t="shared" si="46"/>
        <v>1.7695680965781104</v>
      </c>
      <c r="I208" s="167">
        <f t="shared" si="57"/>
        <v>0.49117878822913336</v>
      </c>
      <c r="J208" s="168">
        <f t="shared" si="47"/>
        <v>57.467918222808599</v>
      </c>
      <c r="K208" s="175">
        <f t="shared" si="60"/>
        <v>207.03946729963891</v>
      </c>
      <c r="L208" s="174">
        <f t="shared" si="61"/>
        <v>-149.57154907683031</v>
      </c>
      <c r="M208" s="171">
        <f t="shared" si="48"/>
        <v>-11.987753146457194</v>
      </c>
      <c r="N208" s="172">
        <f t="shared" si="49"/>
        <v>-161.55930222328749</v>
      </c>
      <c r="O208" s="171">
        <v>0</v>
      </c>
      <c r="P208" s="171">
        <v>0</v>
      </c>
      <c r="Q208" s="171">
        <v>0</v>
      </c>
      <c r="R208" s="172">
        <f t="shared" si="50"/>
        <v>-161.55930222328749</v>
      </c>
    </row>
    <row r="209" spans="1:18" x14ac:dyDescent="0.25">
      <c r="A209" s="93">
        <v>10</v>
      </c>
      <c r="B209" s="164">
        <f t="shared" si="45"/>
        <v>45566</v>
      </c>
      <c r="C209" s="184">
        <f t="shared" si="58"/>
        <v>45601</v>
      </c>
      <c r="D209" s="184">
        <f t="shared" si="58"/>
        <v>45621</v>
      </c>
      <c r="E209" s="52" t="s">
        <v>17</v>
      </c>
      <c r="F209" s="129">
        <v>9</v>
      </c>
      <c r="G209" s="166">
        <v>107</v>
      </c>
      <c r="H209" s="167">
        <f t="shared" si="46"/>
        <v>1.7695680965781104</v>
      </c>
      <c r="I209" s="167">
        <f t="shared" si="57"/>
        <v>0.49117878822913336</v>
      </c>
      <c r="J209" s="168">
        <f t="shared" si="47"/>
        <v>52.556130340517271</v>
      </c>
      <c r="K209" s="175">
        <f t="shared" si="60"/>
        <v>189.34378633385782</v>
      </c>
      <c r="L209" s="174">
        <f t="shared" si="61"/>
        <v>-136.78765599334054</v>
      </c>
      <c r="M209" s="171">
        <f t="shared" si="48"/>
        <v>-10.963158860435211</v>
      </c>
      <c r="N209" s="172">
        <f t="shared" si="49"/>
        <v>-147.75081485377575</v>
      </c>
      <c r="O209" s="171">
        <v>0</v>
      </c>
      <c r="P209" s="171">
        <v>0</v>
      </c>
      <c r="Q209" s="171">
        <v>0</v>
      </c>
      <c r="R209" s="172">
        <f t="shared" si="50"/>
        <v>-147.75081485377575</v>
      </c>
    </row>
    <row r="210" spans="1:18" x14ac:dyDescent="0.25">
      <c r="A210" s="129">
        <v>11</v>
      </c>
      <c r="B210" s="164">
        <f t="shared" si="45"/>
        <v>45597</v>
      </c>
      <c r="C210" s="184">
        <f t="shared" si="58"/>
        <v>45630</v>
      </c>
      <c r="D210" s="184">
        <f t="shared" si="58"/>
        <v>45650</v>
      </c>
      <c r="E210" s="52" t="s">
        <v>17</v>
      </c>
      <c r="F210" s="129">
        <v>9</v>
      </c>
      <c r="G210" s="166">
        <v>91</v>
      </c>
      <c r="H210" s="167">
        <f t="shared" si="46"/>
        <v>1.7695680965781104</v>
      </c>
      <c r="I210" s="167">
        <f t="shared" si="57"/>
        <v>0.49117878822913336</v>
      </c>
      <c r="J210" s="168">
        <f t="shared" si="47"/>
        <v>44.697269728851133</v>
      </c>
      <c r="K210" s="175">
        <f>+$G210*H210</f>
        <v>161.03069678860805</v>
      </c>
      <c r="L210" s="174">
        <f t="shared" si="61"/>
        <v>-116.33342705975693</v>
      </c>
      <c r="M210" s="171">
        <f t="shared" si="48"/>
        <v>-9.323808002800039</v>
      </c>
      <c r="N210" s="172">
        <f t="shared" si="49"/>
        <v>-125.65723506255696</v>
      </c>
      <c r="O210" s="171">
        <v>0</v>
      </c>
      <c r="P210" s="171">
        <v>0</v>
      </c>
      <c r="Q210" s="171">
        <v>0</v>
      </c>
      <c r="R210" s="172">
        <f t="shared" si="50"/>
        <v>-125.65723506255696</v>
      </c>
    </row>
    <row r="211" spans="1:18" s="188" customFormat="1" x14ac:dyDescent="0.25">
      <c r="A211" s="129">
        <v>12</v>
      </c>
      <c r="B211" s="186">
        <f t="shared" si="45"/>
        <v>45627</v>
      </c>
      <c r="C211" s="189">
        <f t="shared" si="58"/>
        <v>45660</v>
      </c>
      <c r="D211" s="189">
        <f t="shared" si="58"/>
        <v>45681</v>
      </c>
      <c r="E211" s="187" t="s">
        <v>17</v>
      </c>
      <c r="F211" s="140">
        <v>9</v>
      </c>
      <c r="G211" s="166">
        <v>102</v>
      </c>
      <c r="H211" s="176">
        <f t="shared" si="46"/>
        <v>1.7695680965781104</v>
      </c>
      <c r="I211" s="176">
        <f t="shared" si="57"/>
        <v>0.49117878822913336</v>
      </c>
      <c r="J211" s="177">
        <f t="shared" si="47"/>
        <v>50.100236399371603</v>
      </c>
      <c r="K211" s="178">
        <f>+$G211*H211</f>
        <v>180.49594585096727</v>
      </c>
      <c r="L211" s="179">
        <f t="shared" si="61"/>
        <v>-130.39570945159568</v>
      </c>
      <c r="M211" s="177">
        <f t="shared" si="48"/>
        <v>-10.450861717424219</v>
      </c>
      <c r="N211" s="172">
        <f t="shared" si="49"/>
        <v>-140.84657116901991</v>
      </c>
      <c r="O211" s="171">
        <v>0</v>
      </c>
      <c r="P211" s="171">
        <v>0</v>
      </c>
      <c r="Q211" s="171">
        <v>0</v>
      </c>
      <c r="R211" s="172">
        <f t="shared" si="50"/>
        <v>-140.84657116901991</v>
      </c>
    </row>
    <row r="212" spans="1:18" x14ac:dyDescent="0.25">
      <c r="G212" s="194">
        <f>SUM(G20:G211)</f>
        <v>101851</v>
      </c>
      <c r="H212" s="49"/>
      <c r="I212" s="49"/>
      <c r="J212" s="49">
        <f>SUM(J20:J211)</f>
        <v>50027.050759925456</v>
      </c>
      <c r="K212" s="49">
        <f>SUM(K20:K211)</f>
        <v>180232.28020457705</v>
      </c>
      <c r="L212" s="49">
        <f>SUM(L20:L211)</f>
        <v>-130205.22944465172</v>
      </c>
      <c r="M212" s="49">
        <f>SUM(M20:M211)</f>
        <v>-10435.595262562485</v>
      </c>
      <c r="N212" s="49"/>
      <c r="O212" s="49"/>
      <c r="P212" s="49">
        <f>SUM(P20:P211)</f>
        <v>0</v>
      </c>
      <c r="Q212" s="49"/>
      <c r="R212" s="195">
        <f>SUM(R20:R211)</f>
        <v>-140640.82470721408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0Ny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F757435-42D5-4E5D-8603-11E91BC90C87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F7912DD7-AB24-4970-B801-866A9AB60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B6346-A261-434D-BDB9-4EFD40FDC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D846E2-06DE-4720-B6D8-DD6060DFDE06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490F4C58-24E6-4DBD-9F67-98E75B4C53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20XX NOLC Refund Detail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2025-05-27T14:45:51Z</cp:lastPrinted>
  <dcterms:created xsi:type="dcterms:W3CDTF">2009-09-04T18:19:13Z</dcterms:created>
  <dcterms:modified xsi:type="dcterms:W3CDTF">2025-05-27T14:46:20Z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f06838f1-b3e6-44ec-9132-89d348037b5f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{5ED846E2-06DE-4720-B6D8-DD6060DFDE06}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