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Formula Rates/Transmission Formula Rates/West TransCos - SPP OATT Attach H-12/Rate Year 2024/True Up (ATRR)/As Filed/"/>
    </mc:Choice>
  </mc:AlternateContent>
  <xr:revisionPtr revIDLastSave="10" documentId="8_{E4C085DA-8318-4550-BD5B-3520825CCE22}" xr6:coauthVersionLast="47" xr6:coauthVersionMax="47" xr10:uidLastSave="{0641E88B-B8B0-4645-AF59-20D50AAA3AD5}"/>
  <bookViews>
    <workbookView xWindow="52680" yWindow="-120" windowWidth="24240" windowHeight="13020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Instructions!$A$1:$Q$18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08" i="18"/>
  <c r="H81" i="18" l="1"/>
  <c r="H113" i="18"/>
  <c r="H145" i="18"/>
  <c r="H177" i="18"/>
  <c r="H37" i="18"/>
  <c r="H69" i="18"/>
  <c r="H101" i="18"/>
  <c r="H133" i="18"/>
  <c r="H165" i="18"/>
  <c r="H49" i="18"/>
  <c r="H21" i="18"/>
  <c r="H53" i="18"/>
  <c r="H85" i="18"/>
  <c r="H117" i="18"/>
  <c r="H149" i="18"/>
  <c r="H181" i="18"/>
  <c r="H33" i="18"/>
  <c r="H65" i="18"/>
  <c r="H97" i="18"/>
  <c r="H129" i="18"/>
  <c r="H161" i="18"/>
  <c r="H25" i="18"/>
  <c r="H41" i="18"/>
  <c r="H57" i="18"/>
  <c r="H73" i="18"/>
  <c r="H89" i="18"/>
  <c r="H105" i="18"/>
  <c r="H121" i="18"/>
  <c r="H137" i="18"/>
  <c r="H153" i="18"/>
  <c r="H169" i="18"/>
  <c r="H185" i="18"/>
  <c r="H29" i="18"/>
  <c r="H45" i="18"/>
  <c r="H61" i="18"/>
  <c r="H77" i="18"/>
  <c r="H93" i="18"/>
  <c r="H109" i="18"/>
  <c r="H125" i="18"/>
  <c r="H141" i="18"/>
  <c r="H157" i="18"/>
  <c r="H173" i="18"/>
  <c r="H26" i="18"/>
  <c r="H34" i="18"/>
  <c r="H42" i="18"/>
  <c r="H50" i="18"/>
  <c r="H58" i="18"/>
  <c r="H62" i="18"/>
  <c r="H70" i="18"/>
  <c r="H74" i="18"/>
  <c r="H78" i="18"/>
  <c r="H86" i="18"/>
  <c r="H94" i="18"/>
  <c r="H98" i="18"/>
  <c r="H106" i="18"/>
  <c r="H114" i="18"/>
  <c r="H122" i="18"/>
  <c r="H126" i="18"/>
  <c r="H134" i="18"/>
  <c r="H138" i="18"/>
  <c r="H146" i="18"/>
  <c r="H154" i="18"/>
  <c r="H162" i="18"/>
  <c r="H174" i="18"/>
  <c r="H182" i="18"/>
  <c r="H186" i="18"/>
  <c r="H190" i="18"/>
  <c r="H194" i="18"/>
  <c r="H198" i="18"/>
  <c r="H202" i="18"/>
  <c r="H210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189" i="18"/>
  <c r="H193" i="18"/>
  <c r="H197" i="18"/>
  <c r="H201" i="18"/>
  <c r="H205" i="18"/>
  <c r="H209" i="18"/>
  <c r="H22" i="18"/>
  <c r="H30" i="18"/>
  <c r="H38" i="18"/>
  <c r="H46" i="18"/>
  <c r="H54" i="18"/>
  <c r="H66" i="18"/>
  <c r="H82" i="18"/>
  <c r="H90" i="18"/>
  <c r="H102" i="18"/>
  <c r="H110" i="18"/>
  <c r="H118" i="18"/>
  <c r="H130" i="18"/>
  <c r="H142" i="18"/>
  <c r="H150" i="18"/>
  <c r="H158" i="18"/>
  <c r="H166" i="18"/>
  <c r="H170" i="18"/>
  <c r="H178" i="18"/>
  <c r="H206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O191" i="18" l="1"/>
  <c r="K1" i="18"/>
  <c r="O59" i="18"/>
  <c r="O67" i="18"/>
  <c r="O210" i="18"/>
  <c r="O202" i="18"/>
  <c r="O178" i="18"/>
  <c r="O146" i="18"/>
  <c r="O138" i="18"/>
  <c r="O98" i="18"/>
  <c r="O90" i="18"/>
  <c r="O38" i="18"/>
  <c r="O209" i="18"/>
  <c r="O181" i="18"/>
  <c r="O177" i="18"/>
  <c r="O145" i="18"/>
  <c r="O121" i="18"/>
  <c r="O97" i="18"/>
  <c r="O81" i="18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O135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C85" i="18" s="1"/>
  <c r="C97" i="18" s="1"/>
  <c r="C109" i="18" s="1"/>
  <c r="C121" i="18" s="1"/>
  <c r="C133" i="18" s="1"/>
  <c r="C145" i="18" s="1"/>
  <c r="C157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65" i="18" s="1"/>
  <c r="C89" i="18" s="1"/>
  <c r="C101" i="18" s="1"/>
  <c r="C113" i="18" s="1"/>
  <c r="C125" i="18" s="1"/>
  <c r="C137" i="18" s="1"/>
  <c r="C149" i="18" s="1"/>
  <c r="C161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63" i="18"/>
  <c r="D35" i="18"/>
  <c r="D37" i="18"/>
  <c r="D40" i="18"/>
  <c r="D52" i="18" s="1"/>
  <c r="D33" i="18"/>
  <c r="D45" i="18" s="1"/>
  <c r="D34" i="18"/>
  <c r="D46" i="18" s="1"/>
  <c r="D57" i="18"/>
  <c r="D69" i="18" s="1"/>
  <c r="C49" i="18"/>
  <c r="O139" i="18"/>
  <c r="O107" i="18"/>
  <c r="O175" i="18"/>
  <c r="O91" i="18"/>
  <c r="O99" i="18"/>
  <c r="O163" i="18"/>
  <c r="O190" i="18"/>
  <c r="O174" i="18"/>
  <c r="O126" i="18"/>
  <c r="O110" i="18"/>
  <c r="O78" i="18"/>
  <c r="O30" i="18"/>
  <c r="O173" i="18"/>
  <c r="O157" i="18"/>
  <c r="O125" i="18"/>
  <c r="O109" i="18"/>
  <c r="O77" i="18"/>
  <c r="O61" i="18"/>
  <c r="O204" i="18"/>
  <c r="O188" i="18"/>
  <c r="O140" i="18"/>
  <c r="O92" i="18"/>
  <c r="O60" i="18"/>
  <c r="O44" i="18"/>
  <c r="O103" i="18"/>
  <c r="O167" i="18"/>
  <c r="O183" i="18"/>
  <c r="O20" i="18"/>
  <c r="O84" i="18"/>
  <c r="O104" i="18"/>
  <c r="O128" i="18"/>
  <c r="O148" i="18"/>
  <c r="O168" i="18"/>
  <c r="O192" i="18"/>
  <c r="O21" i="18"/>
  <c r="O41" i="18"/>
  <c r="O65" i="18"/>
  <c r="O85" i="18"/>
  <c r="O105" i="18"/>
  <c r="O129" i="18"/>
  <c r="O149" i="18"/>
  <c r="O169" i="18"/>
  <c r="O193" i="18"/>
  <c r="O22" i="18"/>
  <c r="O42" i="18"/>
  <c r="O66" i="18"/>
  <c r="O86" i="18"/>
  <c r="O106" i="18"/>
  <c r="O130" i="18"/>
  <c r="O150" i="18"/>
  <c r="O170" i="18"/>
  <c r="O194" i="18"/>
  <c r="O195" i="18"/>
  <c r="O115" i="18"/>
  <c r="O187" i="18"/>
  <c r="O27" i="18"/>
  <c r="O79" i="18"/>
  <c r="O43" i="18"/>
  <c r="O159" i="18"/>
  <c r="O75" i="18"/>
  <c r="O198" i="18"/>
  <c r="O147" i="18"/>
  <c r="O51" i="18"/>
  <c r="O207" i="18"/>
  <c r="O171" i="18"/>
  <c r="O211" i="18"/>
  <c r="O58" i="18"/>
  <c r="O114" i="18"/>
  <c r="O166" i="18"/>
  <c r="O83" i="18"/>
  <c r="O203" i="18"/>
  <c r="O95" i="18"/>
  <c r="O63" i="18"/>
  <c r="O111" i="18"/>
  <c r="O131" i="18"/>
  <c r="O186" i="18"/>
  <c r="O162" i="18"/>
  <c r="O134" i="18"/>
  <c r="O102" i="18"/>
  <c r="O82" i="18"/>
  <c r="O54" i="18"/>
  <c r="O34" i="18"/>
  <c r="O197" i="18"/>
  <c r="O165" i="18"/>
  <c r="O137" i="18"/>
  <c r="O117" i="18"/>
  <c r="O69" i="18"/>
  <c r="O37" i="18"/>
  <c r="O200" i="18"/>
  <c r="O176" i="18"/>
  <c r="O144" i="18"/>
  <c r="O116" i="18"/>
  <c r="O88" i="18"/>
  <c r="O68" i="18"/>
  <c r="O36" i="18"/>
  <c r="O55" i="18"/>
  <c r="O151" i="18"/>
  <c r="O31" i="18"/>
  <c r="O158" i="18"/>
  <c r="O62" i="18"/>
  <c r="O205" i="18"/>
  <c r="O45" i="18"/>
  <c r="O172" i="18"/>
  <c r="O124" i="18"/>
  <c r="O76" i="18"/>
  <c r="O28" i="18"/>
  <c r="O127" i="18"/>
  <c r="O40" i="18"/>
  <c r="O143" i="18"/>
  <c r="O155" i="18"/>
  <c r="O179" i="18"/>
  <c r="O182" i="18"/>
  <c r="O154" i="18"/>
  <c r="O122" i="18"/>
  <c r="O74" i="18"/>
  <c r="O50" i="18"/>
  <c r="O26" i="18"/>
  <c r="O185" i="18"/>
  <c r="O161" i="18"/>
  <c r="O133" i="18"/>
  <c r="O113" i="18"/>
  <c r="O89" i="18"/>
  <c r="O57" i="18"/>
  <c r="O33" i="18"/>
  <c r="O196" i="18"/>
  <c r="O164" i="18"/>
  <c r="O136" i="18"/>
  <c r="O112" i="18"/>
  <c r="O56" i="18"/>
  <c r="O32" i="18"/>
  <c r="O71" i="18"/>
  <c r="O199" i="18"/>
  <c r="O47" i="18"/>
  <c r="O35" i="18"/>
  <c r="O206" i="18"/>
  <c r="O142" i="18"/>
  <c r="O94" i="18"/>
  <c r="O46" i="18"/>
  <c r="O189" i="18"/>
  <c r="O141" i="18"/>
  <c r="O93" i="18"/>
  <c r="O29" i="18"/>
  <c r="O156" i="18"/>
  <c r="O108" i="18"/>
  <c r="O39" i="18"/>
  <c r="O87" i="18"/>
  <c r="O64" i="18"/>
  <c r="H24" i="29"/>
  <c r="E36" i="29"/>
  <c r="D33" i="29"/>
  <c r="G25" i="29"/>
  <c r="H32" i="29"/>
  <c r="H22" i="29"/>
  <c r="D32" i="29"/>
  <c r="E24" i="29"/>
  <c r="G29" i="29"/>
  <c r="E26" i="29"/>
  <c r="H35" i="29"/>
  <c r="D24" i="29"/>
  <c r="H37" i="29"/>
  <c r="D36" i="29"/>
  <c r="E31" i="29"/>
  <c r="E33" i="29"/>
  <c r="G33" i="29"/>
  <c r="G35" i="29"/>
  <c r="D21" i="29"/>
  <c r="H26" i="29"/>
  <c r="H30" i="29"/>
  <c r="E25" i="29"/>
  <c r="D22" i="29"/>
  <c r="H23" i="29"/>
  <c r="G22" i="29"/>
  <c r="H33" i="29"/>
  <c r="G28" i="29"/>
  <c r="G27" i="29"/>
  <c r="E29" i="29"/>
  <c r="G30" i="29"/>
  <c r="H28" i="29"/>
  <c r="H36" i="29"/>
  <c r="G23" i="29"/>
  <c r="G32" i="29"/>
  <c r="E37" i="29"/>
  <c r="D35" i="29"/>
  <c r="G21" i="29"/>
  <c r="G26" i="29"/>
  <c r="G36" i="29"/>
  <c r="E23" i="29"/>
  <c r="H21" i="29"/>
  <c r="E28" i="29"/>
  <c r="D29" i="29"/>
  <c r="E32" i="29"/>
  <c r="E35" i="29"/>
  <c r="H29" i="29"/>
  <c r="E27" i="29"/>
  <c r="H25" i="29"/>
  <c r="H31" i="29"/>
  <c r="D26" i="29"/>
  <c r="D30" i="29"/>
  <c r="G37" i="29"/>
  <c r="E22" i="29"/>
  <c r="D31" i="29"/>
  <c r="D27" i="29"/>
  <c r="D37" i="29"/>
  <c r="G31" i="29"/>
  <c r="G24" i="29"/>
  <c r="E21" i="29"/>
  <c r="D28" i="29"/>
  <c r="H27" i="29"/>
  <c r="D23" i="29"/>
  <c r="E30" i="29"/>
  <c r="D25" i="29"/>
  <c r="C57" i="18" l="1"/>
  <c r="C81" i="18" s="1"/>
  <c r="C93" i="18" s="1"/>
  <c r="C105" i="18" s="1"/>
  <c r="C117" i="18" s="1"/>
  <c r="C129" i="18" s="1"/>
  <c r="C141" i="18" s="1"/>
  <c r="C153" i="18" s="1"/>
  <c r="C165" i="18" s="1"/>
  <c r="C73" i="18"/>
  <c r="C72" i="18"/>
  <c r="C66" i="18"/>
  <c r="C63" i="18"/>
  <c r="D53" i="18"/>
  <c r="C53" i="18"/>
  <c r="D55" i="18"/>
  <c r="D64" i="18"/>
  <c r="D76" i="18" s="1"/>
  <c r="D54" i="18"/>
  <c r="C58" i="18"/>
  <c r="D81" i="18"/>
  <c r="D93" i="18" s="1"/>
  <c r="D105" i="18" s="1"/>
  <c r="D117" i="18" s="1"/>
  <c r="D129" i="18" s="1"/>
  <c r="D141" i="18" s="1"/>
  <c r="D153" i="18" s="1"/>
  <c r="D165" i="18" s="1"/>
  <c r="D77" i="18"/>
  <c r="D48" i="18"/>
  <c r="C71" i="18"/>
  <c r="D62" i="18"/>
  <c r="D74" i="18" s="1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58" i="18"/>
  <c r="C48" i="18"/>
  <c r="D72" i="18"/>
  <c r="C77" i="18"/>
  <c r="C47" i="18"/>
  <c r="G34" i="29"/>
  <c r="E38" i="29"/>
  <c r="F29" i="29"/>
  <c r="I29" i="29" s="1"/>
  <c r="F31" i="29"/>
  <c r="I31" i="29" s="1"/>
  <c r="F22" i="29"/>
  <c r="I22" i="29" s="1"/>
  <c r="F23" i="29"/>
  <c r="I23" i="29" s="1"/>
  <c r="F36" i="29"/>
  <c r="I36" i="29" s="1"/>
  <c r="G38" i="29"/>
  <c r="F25" i="29"/>
  <c r="I25" i="29" s="1"/>
  <c r="F30" i="29"/>
  <c r="I30" i="29" s="1"/>
  <c r="F27" i="29"/>
  <c r="I27" i="29" s="1"/>
  <c r="F21" i="29"/>
  <c r="D34" i="29"/>
  <c r="D38" i="29"/>
  <c r="F35" i="29"/>
  <c r="F33" i="29"/>
  <c r="I33" i="29" s="1"/>
  <c r="F32" i="29"/>
  <c r="I32" i="29" s="1"/>
  <c r="H38" i="29"/>
  <c r="F37" i="29"/>
  <c r="I37" i="29" s="1"/>
  <c r="E34" i="29"/>
  <c r="F24" i="29"/>
  <c r="I24" i="29" s="1"/>
  <c r="H34" i="29"/>
  <c r="F28" i="29"/>
  <c r="I28" i="29" s="1"/>
  <c r="F26" i="29"/>
  <c r="I26" i="29" s="1"/>
  <c r="C181" i="18"/>
  <c r="C193" i="18" s="1"/>
  <c r="C205" i="18" s="1"/>
  <c r="C169" i="18"/>
  <c r="C167" i="18"/>
  <c r="C179" i="18"/>
  <c r="C191" i="18" s="1"/>
  <c r="C203" i="18" s="1"/>
  <c r="D168" i="18"/>
  <c r="D180" i="18"/>
  <c r="D192" i="18" s="1"/>
  <c r="D204" i="18" s="1"/>
  <c r="C87" i="18"/>
  <c r="C99" i="18" s="1"/>
  <c r="C111" i="18" s="1"/>
  <c r="C123" i="18" s="1"/>
  <c r="C135" i="18" s="1"/>
  <c r="C147" i="18" s="1"/>
  <c r="C159" i="18" s="1"/>
  <c r="C75" i="18"/>
  <c r="D173" i="18"/>
  <c r="D75" i="18"/>
  <c r="D87" i="18"/>
  <c r="D99" i="18" s="1"/>
  <c r="D111" i="18" s="1"/>
  <c r="D123" i="18" s="1"/>
  <c r="D135" i="18" s="1"/>
  <c r="D147" i="18" s="1"/>
  <c r="D159" i="18" s="1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D61" i="18"/>
  <c r="D49" i="18"/>
  <c r="C50" i="18"/>
  <c r="C62" i="18"/>
  <c r="O123" i="18"/>
  <c r="O118" i="18"/>
  <c r="O70" i="18"/>
  <c r="O201" i="18"/>
  <c r="O153" i="18"/>
  <c r="O101" i="18"/>
  <c r="O53" i="18"/>
  <c r="O184" i="18"/>
  <c r="O132" i="18"/>
  <c r="O80" i="18"/>
  <c r="O24" i="18"/>
  <c r="C69" i="18" l="1"/>
  <c r="C177" i="18"/>
  <c r="C189" i="18" s="1"/>
  <c r="C201" i="18" s="1"/>
  <c r="H39" i="29"/>
  <c r="D88" i="18"/>
  <c r="D100" i="18" s="1"/>
  <c r="D112" i="18" s="1"/>
  <c r="D124" i="18" s="1"/>
  <c r="D136" i="18" s="1"/>
  <c r="D148" i="18" s="1"/>
  <c r="D160" i="18" s="1"/>
  <c r="D184" i="18" s="1"/>
  <c r="D196" i="18" s="1"/>
  <c r="D208" i="18" s="1"/>
  <c r="D86" i="18"/>
  <c r="D98" i="18" s="1"/>
  <c r="D110" i="18" s="1"/>
  <c r="D122" i="18" s="1"/>
  <c r="D134" i="18" s="1"/>
  <c r="D146" i="18" s="1"/>
  <c r="D158" i="18" s="1"/>
  <c r="D170" i="18" s="1"/>
  <c r="C90" i="18"/>
  <c r="C102" i="18" s="1"/>
  <c r="C114" i="18" s="1"/>
  <c r="C126" i="18" s="1"/>
  <c r="C138" i="18" s="1"/>
  <c r="C150" i="18" s="1"/>
  <c r="C162" i="18" s="1"/>
  <c r="C78" i="18"/>
  <c r="D182" i="18"/>
  <c r="D194" i="18" s="1"/>
  <c r="D206" i="18" s="1"/>
  <c r="D177" i="18"/>
  <c r="D189" i="18" s="1"/>
  <c r="D201" i="18" s="1"/>
  <c r="E39" i="29"/>
  <c r="O13" i="18"/>
  <c r="D172" i="18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C174" i="18" l="1"/>
  <c r="C186" i="18"/>
  <c r="C198" i="18" s="1"/>
  <c r="C210" i="18" s="1"/>
  <c r="F39" i="29"/>
  <c r="D178" i="18"/>
  <c r="D190" i="18" s="1"/>
  <c r="D202" i="18" s="1"/>
  <c r="D166" i="18"/>
  <c r="C172" i="18"/>
  <c r="C184" i="18"/>
  <c r="C196" i="18" s="1"/>
  <c r="C208" i="18" s="1"/>
  <c r="I38" i="29"/>
  <c r="C170" i="18"/>
  <c r="C182" i="18"/>
  <c r="C194" i="18" s="1"/>
  <c r="C206" i="18" s="1"/>
  <c r="I34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I39" i="29" l="1"/>
  <c r="E11" i="29" l="1"/>
  <c r="E13" i="29" l="1"/>
  <c r="F12" i="29" l="1"/>
  <c r="I81" i="18" l="1"/>
  <c r="I42" i="18"/>
  <c r="I36" i="18"/>
  <c r="I179" i="18"/>
  <c r="I171" i="18"/>
  <c r="I189" i="18"/>
  <c r="I134" i="18"/>
  <c r="I61" i="18"/>
  <c r="I111" i="18"/>
  <c r="I116" i="18"/>
  <c r="I92" i="18"/>
  <c r="I161" i="18"/>
  <c r="I50" i="18"/>
  <c r="I22" i="18"/>
  <c r="I57" i="18"/>
  <c r="I62" i="18"/>
  <c r="I204" i="18"/>
  <c r="I105" i="18"/>
  <c r="I193" i="18"/>
  <c r="I142" i="18"/>
  <c r="I23" i="18"/>
  <c r="I37" i="18"/>
  <c r="I32" i="18"/>
  <c r="I149" i="18"/>
  <c r="I210" i="18"/>
  <c r="I44" i="18"/>
  <c r="I67" i="18"/>
  <c r="I135" i="18"/>
  <c r="I43" i="18"/>
  <c r="I55" i="18"/>
  <c r="I172" i="18"/>
  <c r="I144" i="18"/>
  <c r="I163" i="18"/>
  <c r="I182" i="18"/>
  <c r="I85" i="18"/>
  <c r="I82" i="18"/>
  <c r="I103" i="18"/>
  <c r="I120" i="18"/>
  <c r="I73" i="18"/>
  <c r="I28" i="18"/>
  <c r="I165" i="18"/>
  <c r="I170" i="18"/>
  <c r="I147" i="18"/>
  <c r="I46" i="18"/>
  <c r="I122" i="18"/>
  <c r="I194" i="18"/>
  <c r="I211" i="18"/>
  <c r="I63" i="18"/>
  <c r="I167" i="18"/>
  <c r="I88" i="18"/>
  <c r="I141" i="18"/>
  <c r="I106" i="18"/>
  <c r="I200" i="18"/>
  <c r="I143" i="18"/>
  <c r="I114" i="18"/>
  <c r="I35" i="18"/>
  <c r="I124" i="18"/>
  <c r="I71" i="18"/>
  <c r="I191" i="18"/>
  <c r="I152" i="18"/>
  <c r="I132" i="18"/>
  <c r="I27" i="18"/>
  <c r="I49" i="18"/>
  <c r="I75" i="18"/>
  <c r="I185" i="18"/>
  <c r="I107" i="18"/>
  <c r="I41" i="18"/>
  <c r="I110" i="18"/>
  <c r="I95" i="18"/>
  <c r="F14" i="29"/>
  <c r="I190" i="18"/>
  <c r="I159" i="18"/>
  <c r="I207" i="18"/>
  <c r="I155" i="18"/>
  <c r="I203" i="18"/>
  <c r="I181" i="18"/>
  <c r="I208" i="18"/>
  <c r="I25" i="18"/>
  <c r="I83" i="18"/>
  <c r="I84" i="18"/>
  <c r="I131" i="18"/>
  <c r="I188" i="18"/>
  <c r="I29" i="18"/>
  <c r="I38" i="18"/>
  <c r="I195" i="18"/>
  <c r="I79" i="18"/>
  <c r="I153" i="18"/>
  <c r="I47" i="18"/>
  <c r="I66" i="18"/>
  <c r="I34" i="18"/>
  <c r="I127" i="18"/>
  <c r="I196" i="18"/>
  <c r="I146" i="18"/>
  <c r="I158" i="18"/>
  <c r="I52" i="18"/>
  <c r="I205" i="18"/>
  <c r="I206" i="18"/>
  <c r="I94" i="18"/>
  <c r="I140" i="18"/>
  <c r="I80" i="18"/>
  <c r="I76" i="18"/>
  <c r="I97" i="18"/>
  <c r="I31" i="18"/>
  <c r="I176" i="18"/>
  <c r="I98" i="18"/>
  <c r="I117" i="18"/>
  <c r="I184" i="18"/>
  <c r="I89" i="18"/>
  <c r="I175" i="18"/>
  <c r="I54" i="18"/>
  <c r="I59" i="18"/>
  <c r="I77" i="18"/>
  <c r="I180" i="18"/>
  <c r="I199" i="18"/>
  <c r="I133" i="18"/>
  <c r="I99" i="18"/>
  <c r="I178" i="18"/>
  <c r="I162" i="18"/>
  <c r="I60" i="18"/>
  <c r="I177" i="18"/>
  <c r="I51" i="18"/>
  <c r="I69" i="18"/>
  <c r="I102" i="18"/>
  <c r="I173" i="18"/>
  <c r="I148" i="18"/>
  <c r="I56" i="18"/>
  <c r="I197" i="18"/>
  <c r="I138" i="18"/>
  <c r="I174" i="18"/>
  <c r="I198" i="18"/>
  <c r="I112" i="18"/>
  <c r="I65" i="18"/>
  <c r="I72" i="18"/>
  <c r="I125" i="18"/>
  <c r="I202" i="18"/>
  <c r="I74" i="18"/>
  <c r="I33" i="18"/>
  <c r="I90" i="18"/>
  <c r="I78" i="18"/>
  <c r="I20" i="18"/>
  <c r="I119" i="18"/>
  <c r="I168" i="18"/>
  <c r="I156" i="18"/>
  <c r="I30" i="18"/>
  <c r="I183" i="18"/>
  <c r="I192" i="18"/>
  <c r="I39" i="18"/>
  <c r="I104" i="18"/>
  <c r="I108" i="18"/>
  <c r="I187" i="18"/>
  <c r="I137" i="18"/>
  <c r="I157" i="18"/>
  <c r="I68" i="18"/>
  <c r="I53" i="18"/>
  <c r="I113" i="18"/>
  <c r="I129" i="18"/>
  <c r="I151" i="18"/>
  <c r="I48" i="18"/>
  <c r="I26" i="18"/>
  <c r="I21" i="18"/>
  <c r="I118" i="18"/>
  <c r="I100" i="18"/>
  <c r="I145" i="18"/>
  <c r="I121" i="18"/>
  <c r="I123" i="18"/>
  <c r="I209" i="18"/>
  <c r="I201" i="18"/>
  <c r="I24" i="18"/>
  <c r="I93" i="18"/>
  <c r="I139" i="18"/>
  <c r="I101" i="18"/>
  <c r="I70" i="18"/>
  <c r="I64" i="18"/>
  <c r="I58" i="18"/>
  <c r="I91" i="18"/>
  <c r="I87" i="18"/>
  <c r="I86" i="18"/>
  <c r="I186" i="18"/>
  <c r="I128" i="18"/>
  <c r="I160" i="18"/>
  <c r="I115" i="18"/>
  <c r="I130" i="18"/>
  <c r="I136" i="18"/>
  <c r="I40" i="18"/>
  <c r="I109" i="18"/>
  <c r="I166" i="18"/>
  <c r="I169" i="18"/>
  <c r="I96" i="18"/>
  <c r="I164" i="18"/>
  <c r="I45" i="18"/>
  <c r="I126" i="18"/>
  <c r="I150" i="18"/>
  <c r="I154" i="18"/>
  <c r="P58" i="18" l="1"/>
  <c r="K58" i="18"/>
  <c r="J58" i="18"/>
  <c r="P116" i="18"/>
  <c r="K116" i="18"/>
  <c r="J116" i="18"/>
  <c r="P158" i="18"/>
  <c r="K158" i="18"/>
  <c r="J158" i="18"/>
  <c r="P179" i="18"/>
  <c r="K179" i="18"/>
  <c r="J179" i="18"/>
  <c r="P83" i="18"/>
  <c r="K83" i="18"/>
  <c r="J83" i="18"/>
  <c r="P56" i="18"/>
  <c r="K56" i="18"/>
  <c r="J56" i="18"/>
  <c r="P132" i="18"/>
  <c r="K132" i="18"/>
  <c r="J132" i="18"/>
  <c r="P154" i="18"/>
  <c r="K154" i="18"/>
  <c r="J154" i="18"/>
  <c r="P122" i="18"/>
  <c r="K122" i="18"/>
  <c r="J122" i="18"/>
  <c r="P94" i="18"/>
  <c r="K94" i="18"/>
  <c r="J94" i="18"/>
  <c r="P161" i="18"/>
  <c r="K161" i="18"/>
  <c r="J161" i="18"/>
  <c r="P97" i="18"/>
  <c r="K97" i="18"/>
  <c r="J97" i="18"/>
  <c r="P25" i="18"/>
  <c r="K25" i="18"/>
  <c r="J25" i="18"/>
  <c r="P156" i="18"/>
  <c r="K156" i="18"/>
  <c r="J156" i="18"/>
  <c r="L156" i="18" s="1"/>
  <c r="P136" i="18"/>
  <c r="K136" i="18"/>
  <c r="J136" i="18"/>
  <c r="P72" i="18"/>
  <c r="K72" i="18"/>
  <c r="J72" i="18"/>
  <c r="P93" i="18"/>
  <c r="K93" i="18"/>
  <c r="J93" i="18"/>
  <c r="P191" i="18"/>
  <c r="K191" i="18"/>
  <c r="J191" i="18"/>
  <c r="P159" i="18"/>
  <c r="K159" i="18"/>
  <c r="J159" i="18"/>
  <c r="P95" i="18"/>
  <c r="K95" i="18"/>
  <c r="J95" i="18"/>
  <c r="P63" i="18"/>
  <c r="K63" i="18"/>
  <c r="J63" i="18"/>
  <c r="P31" i="18"/>
  <c r="K31" i="18"/>
  <c r="J31" i="18"/>
  <c r="L31" i="18" s="1"/>
  <c r="P21" i="18"/>
  <c r="K21" i="18"/>
  <c r="J21" i="18"/>
  <c r="P107" i="18"/>
  <c r="K107" i="18"/>
  <c r="J107" i="18"/>
  <c r="P182" i="18"/>
  <c r="K182" i="18"/>
  <c r="J182" i="18"/>
  <c r="P77" i="18"/>
  <c r="K77" i="18"/>
  <c r="J77" i="18"/>
  <c r="P178" i="18"/>
  <c r="K178" i="18"/>
  <c r="J178" i="18"/>
  <c r="P146" i="18"/>
  <c r="K146" i="18"/>
  <c r="J146" i="18"/>
  <c r="P26" i="18"/>
  <c r="K26" i="18"/>
  <c r="J26" i="18"/>
  <c r="P68" i="18"/>
  <c r="K68" i="18"/>
  <c r="J68" i="18"/>
  <c r="P153" i="18"/>
  <c r="K153" i="18"/>
  <c r="J153" i="18"/>
  <c r="L153" i="18" s="1"/>
  <c r="P121" i="18"/>
  <c r="K121" i="18"/>
  <c r="J121" i="18"/>
  <c r="P89" i="18"/>
  <c r="K89" i="18"/>
  <c r="J89" i="18"/>
  <c r="L89" i="18" s="1"/>
  <c r="P57" i="18"/>
  <c r="K57" i="18"/>
  <c r="J57" i="18"/>
  <c r="P40" i="18"/>
  <c r="K40" i="18"/>
  <c r="J40" i="18"/>
  <c r="P70" i="18"/>
  <c r="K70" i="18"/>
  <c r="J70" i="18"/>
  <c r="P117" i="18"/>
  <c r="K117" i="18"/>
  <c r="J117" i="18"/>
  <c r="P92" i="18"/>
  <c r="K92" i="18"/>
  <c r="J92" i="18"/>
  <c r="L92" i="18" s="1"/>
  <c r="P192" i="18"/>
  <c r="K192" i="18"/>
  <c r="J192" i="18"/>
  <c r="P160" i="18"/>
  <c r="K160" i="18"/>
  <c r="J160" i="18"/>
  <c r="P128" i="18"/>
  <c r="K128" i="18"/>
  <c r="J128" i="18"/>
  <c r="P96" i="18"/>
  <c r="K96" i="18"/>
  <c r="J96" i="18"/>
  <c r="P64" i="18"/>
  <c r="K64" i="18"/>
  <c r="J64" i="18"/>
  <c r="P54" i="18"/>
  <c r="K54" i="18"/>
  <c r="J54" i="18"/>
  <c r="P37" i="18"/>
  <c r="K37" i="18"/>
  <c r="J37" i="18"/>
  <c r="P60" i="18"/>
  <c r="K60" i="18"/>
  <c r="J60" i="18"/>
  <c r="L60" i="18" s="1"/>
  <c r="P183" i="18"/>
  <c r="K183" i="18"/>
  <c r="J183" i="18"/>
  <c r="P151" i="18"/>
  <c r="K151" i="18"/>
  <c r="J151" i="18"/>
  <c r="P119" i="18"/>
  <c r="K119" i="18"/>
  <c r="J119" i="18"/>
  <c r="P87" i="18"/>
  <c r="K87" i="18"/>
  <c r="J87" i="18"/>
  <c r="P55" i="18"/>
  <c r="K55" i="18"/>
  <c r="J55" i="18"/>
  <c r="P23" i="18"/>
  <c r="K23" i="18"/>
  <c r="J23" i="18"/>
  <c r="P150" i="18"/>
  <c r="K150" i="18"/>
  <c r="J150" i="18"/>
  <c r="P62" i="18"/>
  <c r="K62" i="18"/>
  <c r="J62" i="18"/>
  <c r="P125" i="18"/>
  <c r="K125" i="18"/>
  <c r="J125" i="18"/>
  <c r="L125" i="18" s="1"/>
  <c r="P188" i="18"/>
  <c r="K188" i="18"/>
  <c r="J188" i="18"/>
  <c r="P84" i="18"/>
  <c r="K84" i="18"/>
  <c r="J84" i="18"/>
  <c r="P211" i="18"/>
  <c r="K211" i="18"/>
  <c r="J211" i="18"/>
  <c r="P109" i="18"/>
  <c r="K109" i="18"/>
  <c r="J109" i="18"/>
  <c r="P50" i="18"/>
  <c r="K50" i="18"/>
  <c r="J50" i="18"/>
  <c r="P141" i="18"/>
  <c r="K141" i="18"/>
  <c r="J141" i="18"/>
  <c r="P165" i="18"/>
  <c r="K165" i="18"/>
  <c r="J165" i="18"/>
  <c r="P171" i="18"/>
  <c r="K171" i="18"/>
  <c r="J171" i="18"/>
  <c r="L171" i="18" s="1"/>
  <c r="P43" i="18"/>
  <c r="K43" i="18"/>
  <c r="J43" i="18"/>
  <c r="P100" i="18"/>
  <c r="K100" i="18"/>
  <c r="J100" i="18"/>
  <c r="P82" i="18"/>
  <c r="K82" i="18"/>
  <c r="J82" i="18"/>
  <c r="P61" i="18"/>
  <c r="K61" i="18"/>
  <c r="J61" i="18"/>
  <c r="P99" i="18"/>
  <c r="K99" i="18"/>
  <c r="J99" i="18"/>
  <c r="P142" i="18"/>
  <c r="K142" i="18"/>
  <c r="J142" i="18"/>
  <c r="P45" i="18"/>
  <c r="K45" i="18"/>
  <c r="J45" i="18"/>
  <c r="P202" i="18"/>
  <c r="K202" i="18"/>
  <c r="J202" i="18"/>
  <c r="L202" i="18" s="1"/>
  <c r="P170" i="18"/>
  <c r="K170" i="18"/>
  <c r="J170" i="18"/>
  <c r="P138" i="18"/>
  <c r="K138" i="18"/>
  <c r="J138" i="18"/>
  <c r="P106" i="18"/>
  <c r="K106" i="18"/>
  <c r="J106" i="18"/>
  <c r="P32" i="18"/>
  <c r="K32" i="18"/>
  <c r="J32" i="18"/>
  <c r="P181" i="18"/>
  <c r="K181" i="18"/>
  <c r="J181" i="18"/>
  <c r="P204" i="18"/>
  <c r="K204" i="18"/>
  <c r="J204" i="18"/>
  <c r="P209" i="18"/>
  <c r="K209" i="18"/>
  <c r="J209" i="18"/>
  <c r="P177" i="18"/>
  <c r="K177" i="18"/>
  <c r="J177" i="18"/>
  <c r="P145" i="18"/>
  <c r="K145" i="18"/>
  <c r="J145" i="18"/>
  <c r="P113" i="18"/>
  <c r="K113" i="18"/>
  <c r="J113" i="18"/>
  <c r="P81" i="18"/>
  <c r="K81" i="18"/>
  <c r="J81" i="18"/>
  <c r="P49" i="18"/>
  <c r="K49" i="18"/>
  <c r="J49" i="18"/>
  <c r="P24" i="18"/>
  <c r="K24" i="18"/>
  <c r="J24" i="18"/>
  <c r="L24" i="18" s="1"/>
  <c r="P22" i="18"/>
  <c r="K22" i="18"/>
  <c r="J22" i="18"/>
  <c r="P69" i="18"/>
  <c r="K69" i="18"/>
  <c r="J69" i="18"/>
  <c r="P36" i="18"/>
  <c r="K36" i="18"/>
  <c r="J36" i="18"/>
  <c r="P184" i="18"/>
  <c r="K184" i="18"/>
  <c r="J184" i="18"/>
  <c r="P152" i="18"/>
  <c r="K152" i="18"/>
  <c r="J152" i="18"/>
  <c r="P120" i="18"/>
  <c r="K120" i="18"/>
  <c r="J120" i="18"/>
  <c r="P88" i="18"/>
  <c r="K88" i="18"/>
  <c r="J88" i="18"/>
  <c r="P48" i="18"/>
  <c r="K48" i="18"/>
  <c r="J48" i="18"/>
  <c r="L48" i="18" s="1"/>
  <c r="P197" i="18"/>
  <c r="K197" i="18"/>
  <c r="J197" i="18"/>
  <c r="P196" i="18"/>
  <c r="K196" i="18"/>
  <c r="J196" i="18"/>
  <c r="P207" i="18"/>
  <c r="K207" i="18"/>
  <c r="J207" i="18"/>
  <c r="P175" i="18"/>
  <c r="K175" i="18"/>
  <c r="J175" i="18"/>
  <c r="P143" i="18"/>
  <c r="K143" i="18"/>
  <c r="J143" i="18"/>
  <c r="P111" i="18"/>
  <c r="K111" i="18"/>
  <c r="J111" i="18"/>
  <c r="P79" i="18"/>
  <c r="K79" i="18"/>
  <c r="J79" i="18"/>
  <c r="P47" i="18"/>
  <c r="K47" i="18"/>
  <c r="J47" i="18"/>
  <c r="P206" i="18"/>
  <c r="K206" i="18"/>
  <c r="J206" i="18"/>
  <c r="P134" i="18"/>
  <c r="K134" i="18"/>
  <c r="J134" i="18"/>
  <c r="P30" i="18"/>
  <c r="K30" i="18"/>
  <c r="J30" i="18"/>
  <c r="P85" i="18"/>
  <c r="K85" i="18"/>
  <c r="J85" i="18"/>
  <c r="P172" i="18"/>
  <c r="K172" i="18"/>
  <c r="J172" i="18"/>
  <c r="L172" i="18" s="1"/>
  <c r="P52" i="18"/>
  <c r="K52" i="18"/>
  <c r="J52" i="18"/>
  <c r="P115" i="18"/>
  <c r="K115" i="18"/>
  <c r="J115" i="18"/>
  <c r="P186" i="18"/>
  <c r="K186" i="18"/>
  <c r="J186" i="18"/>
  <c r="P193" i="18"/>
  <c r="K193" i="18"/>
  <c r="J193" i="18"/>
  <c r="P168" i="18"/>
  <c r="K168" i="18"/>
  <c r="J168" i="18"/>
  <c r="P78" i="18"/>
  <c r="K78" i="18"/>
  <c r="J78" i="18"/>
  <c r="P203" i="18"/>
  <c r="K203" i="18"/>
  <c r="J203" i="18"/>
  <c r="P75" i="18"/>
  <c r="K75" i="18"/>
  <c r="J75" i="18"/>
  <c r="P46" i="18"/>
  <c r="K46" i="18"/>
  <c r="J46" i="18"/>
  <c r="P114" i="18"/>
  <c r="K114" i="18"/>
  <c r="J114" i="18"/>
  <c r="P185" i="18"/>
  <c r="K185" i="18"/>
  <c r="J185" i="18"/>
  <c r="L185" i="18" s="1"/>
  <c r="P195" i="18"/>
  <c r="K195" i="18"/>
  <c r="J195" i="18"/>
  <c r="P67" i="18"/>
  <c r="K67" i="18"/>
  <c r="J67" i="18"/>
  <c r="P147" i="18"/>
  <c r="K147" i="18"/>
  <c r="J147" i="18"/>
  <c r="P51" i="18"/>
  <c r="K51" i="18"/>
  <c r="J51" i="18"/>
  <c r="P86" i="18"/>
  <c r="K86" i="18"/>
  <c r="J86" i="18"/>
  <c r="P20" i="18"/>
  <c r="G212" i="18"/>
  <c r="M77" i="18" s="1"/>
  <c r="K20" i="18"/>
  <c r="J20" i="18"/>
  <c r="P90" i="18"/>
  <c r="K90" i="18"/>
  <c r="J90" i="18"/>
  <c r="P101" i="18"/>
  <c r="K101" i="18"/>
  <c r="J101" i="18"/>
  <c r="P129" i="18"/>
  <c r="K129" i="18"/>
  <c r="J129" i="18"/>
  <c r="P65" i="18"/>
  <c r="K65" i="18"/>
  <c r="J65" i="18"/>
  <c r="P102" i="18"/>
  <c r="K102" i="18"/>
  <c r="J102" i="18"/>
  <c r="P200" i="18"/>
  <c r="K200" i="18"/>
  <c r="J200" i="18"/>
  <c r="P104" i="18"/>
  <c r="K104" i="18"/>
  <c r="J104" i="18"/>
  <c r="P110" i="18"/>
  <c r="K110" i="18"/>
  <c r="J110" i="18"/>
  <c r="P108" i="18"/>
  <c r="K108" i="18"/>
  <c r="J108" i="18"/>
  <c r="P127" i="18"/>
  <c r="K127" i="18"/>
  <c r="J127" i="18"/>
  <c r="P124" i="18"/>
  <c r="K124" i="18"/>
  <c r="J124" i="18"/>
  <c r="P139" i="18"/>
  <c r="K139" i="18"/>
  <c r="J139" i="18"/>
  <c r="P42" i="18"/>
  <c r="K42" i="18"/>
  <c r="J42" i="18"/>
  <c r="P210" i="18"/>
  <c r="K210" i="18"/>
  <c r="J210" i="18"/>
  <c r="P38" i="18"/>
  <c r="K38" i="18"/>
  <c r="J38" i="18"/>
  <c r="P163" i="18"/>
  <c r="K163" i="18"/>
  <c r="J163" i="18"/>
  <c r="P131" i="18"/>
  <c r="K131" i="18"/>
  <c r="J131" i="18"/>
  <c r="P35" i="18"/>
  <c r="K35" i="18"/>
  <c r="J35" i="18"/>
  <c r="P34" i="18"/>
  <c r="K34" i="18"/>
  <c r="J34" i="18"/>
  <c r="P173" i="18"/>
  <c r="K173" i="18"/>
  <c r="J173" i="18"/>
  <c r="P76" i="18"/>
  <c r="K76" i="18"/>
  <c r="J76" i="18"/>
  <c r="P74" i="18"/>
  <c r="K74" i="18"/>
  <c r="J74" i="18"/>
  <c r="P187" i="18"/>
  <c r="K187" i="18"/>
  <c r="J187" i="18"/>
  <c r="P155" i="18"/>
  <c r="K155" i="18"/>
  <c r="J155" i="18"/>
  <c r="P123" i="18"/>
  <c r="K123" i="18"/>
  <c r="J123" i="18"/>
  <c r="P91" i="18"/>
  <c r="K91" i="18"/>
  <c r="J91" i="18"/>
  <c r="P59" i="18"/>
  <c r="K59" i="18"/>
  <c r="J59" i="18"/>
  <c r="P27" i="18"/>
  <c r="K27" i="18"/>
  <c r="J27" i="18"/>
  <c r="P33" i="18"/>
  <c r="K33" i="18"/>
  <c r="J33" i="18"/>
  <c r="P126" i="18"/>
  <c r="K126" i="18"/>
  <c r="J126" i="18"/>
  <c r="P133" i="18"/>
  <c r="K133" i="18"/>
  <c r="J133" i="18"/>
  <c r="P180" i="18"/>
  <c r="K180" i="18"/>
  <c r="J180" i="18"/>
  <c r="P44" i="18"/>
  <c r="K44" i="18"/>
  <c r="J44" i="18"/>
  <c r="L44" i="18" s="1"/>
  <c r="P194" i="18"/>
  <c r="K194" i="18"/>
  <c r="J194" i="18"/>
  <c r="P162" i="18"/>
  <c r="K162" i="18"/>
  <c r="J162" i="18"/>
  <c r="P130" i="18"/>
  <c r="K130" i="18"/>
  <c r="J130" i="18"/>
  <c r="P98" i="18"/>
  <c r="K98" i="18"/>
  <c r="J98" i="18"/>
  <c r="P66" i="18"/>
  <c r="K66" i="18"/>
  <c r="J66" i="18"/>
  <c r="M66" i="18"/>
  <c r="P198" i="18"/>
  <c r="K198" i="18"/>
  <c r="J198" i="18"/>
  <c r="L198" i="18" s="1"/>
  <c r="P157" i="18"/>
  <c r="K157" i="18"/>
  <c r="J157" i="18"/>
  <c r="P148" i="18"/>
  <c r="K148" i="18"/>
  <c r="J148" i="18"/>
  <c r="P201" i="18"/>
  <c r="K201" i="18"/>
  <c r="J201" i="18"/>
  <c r="P169" i="18"/>
  <c r="K169" i="18"/>
  <c r="J169" i="18"/>
  <c r="P137" i="18"/>
  <c r="K137" i="18"/>
  <c r="J137" i="18"/>
  <c r="P105" i="18"/>
  <c r="K105" i="18"/>
  <c r="J105" i="18"/>
  <c r="P73" i="18"/>
  <c r="K73" i="18"/>
  <c r="J73" i="18"/>
  <c r="P41" i="18"/>
  <c r="K41" i="18"/>
  <c r="J41" i="18"/>
  <c r="P174" i="18"/>
  <c r="K174" i="18"/>
  <c r="J174" i="18"/>
  <c r="M174" i="18"/>
  <c r="P189" i="18"/>
  <c r="K189" i="18"/>
  <c r="J189" i="18"/>
  <c r="L189" i="18" s="1"/>
  <c r="P29" i="18"/>
  <c r="K29" i="18"/>
  <c r="J29" i="18"/>
  <c r="P208" i="18"/>
  <c r="K208" i="18"/>
  <c r="J208" i="18"/>
  <c r="P176" i="18"/>
  <c r="K176" i="18"/>
  <c r="J176" i="18"/>
  <c r="P144" i="18"/>
  <c r="K144" i="18"/>
  <c r="J144" i="18"/>
  <c r="P112" i="18"/>
  <c r="K112" i="18"/>
  <c r="J112" i="18"/>
  <c r="P80" i="18"/>
  <c r="K80" i="18"/>
  <c r="J80" i="18"/>
  <c r="P166" i="18"/>
  <c r="K166" i="18"/>
  <c r="J166" i="18"/>
  <c r="P149" i="18"/>
  <c r="K149" i="18"/>
  <c r="J149" i="18"/>
  <c r="P164" i="18"/>
  <c r="K164" i="18"/>
  <c r="J164" i="18"/>
  <c r="P199" i="18"/>
  <c r="K199" i="18"/>
  <c r="J199" i="18"/>
  <c r="P167" i="18"/>
  <c r="K167" i="18"/>
  <c r="J167" i="18"/>
  <c r="P135" i="18"/>
  <c r="K135" i="18"/>
  <c r="J135" i="18"/>
  <c r="P103" i="18"/>
  <c r="K103" i="18"/>
  <c r="J103" i="18"/>
  <c r="L103" i="18" s="1"/>
  <c r="P71" i="18"/>
  <c r="K71" i="18"/>
  <c r="J71" i="18"/>
  <c r="P39" i="18"/>
  <c r="K39" i="18"/>
  <c r="J39" i="18"/>
  <c r="P190" i="18"/>
  <c r="K190" i="18"/>
  <c r="J190" i="18"/>
  <c r="P118" i="18"/>
  <c r="K118" i="18"/>
  <c r="J118" i="18"/>
  <c r="P205" i="18"/>
  <c r="K205" i="18"/>
  <c r="J205" i="18"/>
  <c r="P53" i="18"/>
  <c r="K53" i="18"/>
  <c r="J53" i="18"/>
  <c r="P140" i="18"/>
  <c r="K140" i="18"/>
  <c r="J140" i="18"/>
  <c r="P28" i="18"/>
  <c r="K28" i="18"/>
  <c r="J28" i="18"/>
  <c r="L28" i="18" s="1"/>
  <c r="M28" i="18"/>
  <c r="L174" i="18" l="1"/>
  <c r="L59" i="18"/>
  <c r="L81" i="18"/>
  <c r="L87" i="18"/>
  <c r="L96" i="18"/>
  <c r="L21" i="18"/>
  <c r="L149" i="18"/>
  <c r="L104" i="18"/>
  <c r="L69" i="18"/>
  <c r="L39" i="18"/>
  <c r="L79" i="18"/>
  <c r="L71" i="18"/>
  <c r="M164" i="18"/>
  <c r="L73" i="18"/>
  <c r="L133" i="18"/>
  <c r="M157" i="18"/>
  <c r="M103" i="18"/>
  <c r="N103" i="18" s="1"/>
  <c r="R103" i="18" s="1"/>
  <c r="L80" i="18"/>
  <c r="L123" i="18"/>
  <c r="M139" i="18"/>
  <c r="L136" i="18"/>
  <c r="M180" i="18"/>
  <c r="M112" i="18"/>
  <c r="M88" i="18"/>
  <c r="M173" i="18"/>
  <c r="M39" i="18"/>
  <c r="N39" i="18" s="1"/>
  <c r="R39" i="18" s="1"/>
  <c r="M166" i="18"/>
  <c r="M91" i="18"/>
  <c r="L23" i="18"/>
  <c r="L54" i="18"/>
  <c r="L41" i="18"/>
  <c r="L134" i="18"/>
  <c r="L182" i="18"/>
  <c r="L112" i="18"/>
  <c r="N112" i="18" s="1"/>
  <c r="R112" i="18" s="1"/>
  <c r="L148" i="18"/>
  <c r="L124" i="18"/>
  <c r="L129" i="18"/>
  <c r="L203" i="18"/>
  <c r="L111" i="18"/>
  <c r="L22" i="18"/>
  <c r="L37" i="18"/>
  <c r="L117" i="18"/>
  <c r="L121" i="18"/>
  <c r="L107" i="18"/>
  <c r="L72" i="18"/>
  <c r="L154" i="18"/>
  <c r="M201" i="18"/>
  <c r="M210" i="18"/>
  <c r="M167" i="18"/>
  <c r="M137" i="18"/>
  <c r="M163" i="18"/>
  <c r="M70" i="18"/>
  <c r="L132" i="18"/>
  <c r="L140" i="18"/>
  <c r="L167" i="18"/>
  <c r="L144" i="18"/>
  <c r="M73" i="18"/>
  <c r="L98" i="18"/>
  <c r="M126" i="18"/>
  <c r="M35" i="18"/>
  <c r="L200" i="18"/>
  <c r="L196" i="18"/>
  <c r="L152" i="18"/>
  <c r="L138" i="18"/>
  <c r="L100" i="18"/>
  <c r="L84" i="18"/>
  <c r="L97" i="18"/>
  <c r="L179" i="18"/>
  <c r="M118" i="18"/>
  <c r="M29" i="18"/>
  <c r="M194" i="18"/>
  <c r="M74" i="18"/>
  <c r="M206" i="18"/>
  <c r="M53" i="18"/>
  <c r="L118" i="18"/>
  <c r="N118" i="18" s="1"/>
  <c r="R118" i="18" s="1"/>
  <c r="M176" i="18"/>
  <c r="M130" i="18"/>
  <c r="L102" i="18"/>
  <c r="L206" i="18"/>
  <c r="L197" i="18"/>
  <c r="L170" i="18"/>
  <c r="L43" i="18"/>
  <c r="L190" i="18"/>
  <c r="L166" i="18"/>
  <c r="M30" i="18"/>
  <c r="M36" i="18"/>
  <c r="L204" i="18"/>
  <c r="L142" i="18"/>
  <c r="L26" i="18"/>
  <c r="L95" i="18"/>
  <c r="L116" i="18"/>
  <c r="L205" i="18"/>
  <c r="L164" i="18"/>
  <c r="N164" i="18" s="1"/>
  <c r="R164" i="18" s="1"/>
  <c r="L208" i="18"/>
  <c r="L162" i="18"/>
  <c r="L187" i="18"/>
  <c r="L110" i="18"/>
  <c r="L75" i="18"/>
  <c r="M172" i="18"/>
  <c r="N172" i="18" s="1"/>
  <c r="R172" i="18" s="1"/>
  <c r="L30" i="18"/>
  <c r="L175" i="18"/>
  <c r="M152" i="18"/>
  <c r="L36" i="18"/>
  <c r="L177" i="18"/>
  <c r="L106" i="18"/>
  <c r="L82" i="18"/>
  <c r="L109" i="18"/>
  <c r="M23" i="18"/>
  <c r="L183" i="18"/>
  <c r="L192" i="18"/>
  <c r="L57" i="18"/>
  <c r="L77" i="18"/>
  <c r="L93" i="18"/>
  <c r="L122" i="18"/>
  <c r="L127" i="18"/>
  <c r="L101" i="18"/>
  <c r="L114" i="18"/>
  <c r="L47" i="18"/>
  <c r="M197" i="18"/>
  <c r="L88" i="18"/>
  <c r="N88" i="18" s="1"/>
  <c r="R88" i="18" s="1"/>
  <c r="L113" i="18"/>
  <c r="L181" i="18"/>
  <c r="L99" i="18"/>
  <c r="L62" i="18"/>
  <c r="L119" i="18"/>
  <c r="L128" i="18"/>
  <c r="L70" i="18"/>
  <c r="L146" i="18"/>
  <c r="L159" i="18"/>
  <c r="L161" i="18"/>
  <c r="L58" i="18"/>
  <c r="M207" i="18"/>
  <c r="M209" i="18"/>
  <c r="L199" i="18"/>
  <c r="L29" i="18"/>
  <c r="N29" i="18" s="1"/>
  <c r="R29" i="18" s="1"/>
  <c r="L169" i="18"/>
  <c r="L65" i="18"/>
  <c r="L195" i="18"/>
  <c r="L85" i="18"/>
  <c r="M143" i="18"/>
  <c r="L207" i="18"/>
  <c r="L184" i="18"/>
  <c r="L49" i="18"/>
  <c r="L209" i="18"/>
  <c r="L45" i="18"/>
  <c r="L188" i="18"/>
  <c r="L55" i="18"/>
  <c r="L64" i="18"/>
  <c r="L68" i="18"/>
  <c r="L63" i="18"/>
  <c r="L25" i="18"/>
  <c r="L158" i="18"/>
  <c r="L53" i="18"/>
  <c r="L135" i="18"/>
  <c r="L176" i="18"/>
  <c r="L105" i="18"/>
  <c r="L33" i="18"/>
  <c r="L108" i="18"/>
  <c r="L90" i="18"/>
  <c r="L52" i="18"/>
  <c r="M79" i="18"/>
  <c r="N79" i="18" s="1"/>
  <c r="R79" i="18" s="1"/>
  <c r="L143" i="18"/>
  <c r="L120" i="18"/>
  <c r="L145" i="18"/>
  <c r="L32" i="18"/>
  <c r="L61" i="18"/>
  <c r="L150" i="18"/>
  <c r="L151" i="18"/>
  <c r="L160" i="18"/>
  <c r="L40" i="18"/>
  <c r="L178" i="18"/>
  <c r="L191" i="18"/>
  <c r="L94" i="18"/>
  <c r="N174" i="18"/>
  <c r="R174" i="18" s="1"/>
  <c r="N77" i="18"/>
  <c r="R77" i="18" s="1"/>
  <c r="N197" i="18"/>
  <c r="R197" i="18" s="1"/>
  <c r="N28" i="18"/>
  <c r="R28" i="18" s="1"/>
  <c r="M145" i="18"/>
  <c r="M92" i="18"/>
  <c r="N92" i="18" s="1"/>
  <c r="R92" i="18" s="1"/>
  <c r="M129" i="18"/>
  <c r="M193" i="18"/>
  <c r="M115" i="18"/>
  <c r="M81" i="18"/>
  <c r="N81" i="18" s="1"/>
  <c r="R81" i="18" s="1"/>
  <c r="M82" i="18"/>
  <c r="M188" i="18"/>
  <c r="M160" i="18"/>
  <c r="M107" i="18"/>
  <c r="M86" i="18"/>
  <c r="M147" i="18"/>
  <c r="L67" i="18"/>
  <c r="M24" i="18"/>
  <c r="N24" i="18" s="1"/>
  <c r="R24" i="18" s="1"/>
  <c r="M99" i="18"/>
  <c r="M96" i="18"/>
  <c r="P13" i="18"/>
  <c r="M58" i="18"/>
  <c r="M158" i="18"/>
  <c r="N158" i="18" s="1"/>
  <c r="R158" i="18" s="1"/>
  <c r="M179" i="18"/>
  <c r="M56" i="18"/>
  <c r="M154" i="18"/>
  <c r="M94" i="18"/>
  <c r="M97" i="18"/>
  <c r="M156" i="18"/>
  <c r="N156" i="18" s="1"/>
  <c r="R156" i="18" s="1"/>
  <c r="M72" i="18"/>
  <c r="M191" i="18"/>
  <c r="M95" i="18"/>
  <c r="M31" i="18"/>
  <c r="N31" i="18" s="1"/>
  <c r="R31" i="18" s="1"/>
  <c r="M203" i="18"/>
  <c r="N203" i="18" s="1"/>
  <c r="R203" i="18" s="1"/>
  <c r="M46" i="18"/>
  <c r="M185" i="18"/>
  <c r="N185" i="18" s="1"/>
  <c r="R185" i="18" s="1"/>
  <c r="M67" i="18"/>
  <c r="M182" i="18"/>
  <c r="M178" i="18"/>
  <c r="M26" i="18"/>
  <c r="M153" i="18"/>
  <c r="N153" i="18" s="1"/>
  <c r="R153" i="18" s="1"/>
  <c r="M89" i="18"/>
  <c r="N89" i="18" s="1"/>
  <c r="R89" i="18" s="1"/>
  <c r="M40" i="18"/>
  <c r="M117" i="18"/>
  <c r="M192" i="18"/>
  <c r="M128" i="18"/>
  <c r="M64" i="18"/>
  <c r="M37" i="18"/>
  <c r="M183" i="18"/>
  <c r="M119" i="18"/>
  <c r="M55" i="18"/>
  <c r="M150" i="18"/>
  <c r="M125" i="18"/>
  <c r="N125" i="18" s="1"/>
  <c r="R125" i="18" s="1"/>
  <c r="M84" i="18"/>
  <c r="M171" i="18"/>
  <c r="N171" i="18" s="1"/>
  <c r="R171" i="18" s="1"/>
  <c r="M100" i="18"/>
  <c r="M61" i="18"/>
  <c r="N61" i="18" s="1"/>
  <c r="R61" i="18" s="1"/>
  <c r="M142" i="18"/>
  <c r="N142" i="18" s="1"/>
  <c r="R142" i="18" s="1"/>
  <c r="M202" i="18"/>
  <c r="N202" i="18" s="1"/>
  <c r="R202" i="18" s="1"/>
  <c r="M138" i="18"/>
  <c r="N138" i="18" s="1"/>
  <c r="R138" i="18" s="1"/>
  <c r="M32" i="18"/>
  <c r="M204" i="18"/>
  <c r="M177" i="18"/>
  <c r="M113" i="18"/>
  <c r="M49" i="18"/>
  <c r="M22" i="18"/>
  <c r="N22" i="18" s="1"/>
  <c r="R22" i="18" s="1"/>
  <c r="M211" i="18"/>
  <c r="M50" i="18"/>
  <c r="M165" i="18"/>
  <c r="M116" i="18"/>
  <c r="M83" i="18"/>
  <c r="M132" i="18"/>
  <c r="M122" i="18"/>
  <c r="M161" i="18"/>
  <c r="M25" i="18"/>
  <c r="M136" i="18"/>
  <c r="M93" i="18"/>
  <c r="M159" i="18"/>
  <c r="M63" i="18"/>
  <c r="M21" i="18"/>
  <c r="M75" i="18"/>
  <c r="M114" i="18"/>
  <c r="M195" i="18"/>
  <c r="M76" i="18"/>
  <c r="M34" i="18"/>
  <c r="M131" i="18"/>
  <c r="M38" i="18"/>
  <c r="M42" i="18"/>
  <c r="M52" i="18"/>
  <c r="N52" i="18" s="1"/>
  <c r="R52" i="18" s="1"/>
  <c r="M85" i="18"/>
  <c r="M134" i="18"/>
  <c r="N134" i="18" s="1"/>
  <c r="R134" i="18" s="1"/>
  <c r="M47" i="18"/>
  <c r="M111" i="18"/>
  <c r="M175" i="18"/>
  <c r="M196" i="18"/>
  <c r="M48" i="18"/>
  <c r="N48" i="18" s="1"/>
  <c r="R48" i="18" s="1"/>
  <c r="M120" i="18"/>
  <c r="M184" i="18"/>
  <c r="M69" i="18"/>
  <c r="N69" i="18" s="1"/>
  <c r="R69" i="18" s="1"/>
  <c r="M45" i="18"/>
  <c r="M54" i="18"/>
  <c r="M146" i="18"/>
  <c r="N146" i="18" s="1"/>
  <c r="R146" i="18" s="1"/>
  <c r="M62" i="18"/>
  <c r="P14" i="18"/>
  <c r="P212" i="18"/>
  <c r="M78" i="18"/>
  <c r="M190" i="18"/>
  <c r="M135" i="18"/>
  <c r="M149" i="18"/>
  <c r="M80" i="18"/>
  <c r="M208" i="18"/>
  <c r="M189" i="18"/>
  <c r="N189" i="18" s="1"/>
  <c r="R189" i="18" s="1"/>
  <c r="M41" i="18"/>
  <c r="M105" i="18"/>
  <c r="M169" i="18"/>
  <c r="N169" i="18" s="1"/>
  <c r="R169" i="18" s="1"/>
  <c r="M148" i="18"/>
  <c r="M198" i="18"/>
  <c r="N198" i="18" s="1"/>
  <c r="R198" i="18" s="1"/>
  <c r="M98" i="18"/>
  <c r="M162" i="18"/>
  <c r="M44" i="18"/>
  <c r="N44" i="18" s="1"/>
  <c r="R44" i="18" s="1"/>
  <c r="M133" i="18"/>
  <c r="M33" i="18"/>
  <c r="N33" i="18" s="1"/>
  <c r="R33" i="18" s="1"/>
  <c r="M59" i="18"/>
  <c r="N59" i="18" s="1"/>
  <c r="R59" i="18" s="1"/>
  <c r="M123" i="18"/>
  <c r="N123" i="18" s="1"/>
  <c r="R123" i="18" s="1"/>
  <c r="M187" i="18"/>
  <c r="M170" i="18"/>
  <c r="M109" i="18"/>
  <c r="M60" i="18"/>
  <c r="N60" i="18" s="1"/>
  <c r="R60" i="18" s="1"/>
  <c r="M68" i="18"/>
  <c r="N68" i="18" s="1"/>
  <c r="R68" i="18" s="1"/>
  <c r="M104" i="18"/>
  <c r="N104" i="18" s="1"/>
  <c r="R104" i="18" s="1"/>
  <c r="M140" i="18"/>
  <c r="M199" i="18"/>
  <c r="M110" i="18"/>
  <c r="M168" i="18"/>
  <c r="M186" i="18"/>
  <c r="M106" i="18"/>
  <c r="M141" i="18"/>
  <c r="M151" i="18"/>
  <c r="M121" i="18"/>
  <c r="L56" i="18"/>
  <c r="J13" i="18"/>
  <c r="M27" i="18"/>
  <c r="M155" i="18"/>
  <c r="M43" i="18"/>
  <c r="M124" i="18"/>
  <c r="N124" i="18" s="1"/>
  <c r="R124" i="18" s="1"/>
  <c r="M108" i="18"/>
  <c r="N108" i="18" s="1"/>
  <c r="R108" i="18" s="1"/>
  <c r="M102" i="18"/>
  <c r="M90" i="18"/>
  <c r="M205" i="18"/>
  <c r="M71" i="18"/>
  <c r="N71" i="18" s="1"/>
  <c r="R71" i="18" s="1"/>
  <c r="M144" i="18"/>
  <c r="N144" i="18" s="1"/>
  <c r="R144" i="18" s="1"/>
  <c r="M127" i="18"/>
  <c r="M200" i="18"/>
  <c r="M65" i="18"/>
  <c r="M101" i="18"/>
  <c r="M20" i="18"/>
  <c r="J212" i="18"/>
  <c r="J14" i="18"/>
  <c r="L20" i="18"/>
  <c r="M51" i="18"/>
  <c r="L46" i="18"/>
  <c r="M181" i="18"/>
  <c r="L141" i="18"/>
  <c r="M87" i="18"/>
  <c r="N87" i="18" s="1"/>
  <c r="R87" i="18" s="1"/>
  <c r="M57" i="18"/>
  <c r="K13" i="18"/>
  <c r="L74" i="18"/>
  <c r="N74" i="18" s="1"/>
  <c r="R74" i="18" s="1"/>
  <c r="L173" i="18"/>
  <c r="L35" i="18"/>
  <c r="L163" i="18"/>
  <c r="N163" i="18" s="1"/>
  <c r="R163" i="18" s="1"/>
  <c r="L210" i="18"/>
  <c r="N210" i="18" s="1"/>
  <c r="R210" i="18" s="1"/>
  <c r="L139" i="18"/>
  <c r="N139" i="18" s="1"/>
  <c r="R139" i="18" s="1"/>
  <c r="K14" i="18"/>
  <c r="K212" i="18"/>
  <c r="L51" i="18"/>
  <c r="L168" i="18"/>
  <c r="L186" i="18"/>
  <c r="L83" i="18"/>
  <c r="L165" i="18"/>
  <c r="L50" i="18"/>
  <c r="L211" i="18"/>
  <c r="L137" i="18"/>
  <c r="L201" i="18"/>
  <c r="N201" i="18" s="1"/>
  <c r="R201" i="18" s="1"/>
  <c r="L157" i="18"/>
  <c r="N157" i="18" s="1"/>
  <c r="R157" i="18" s="1"/>
  <c r="L66" i="18"/>
  <c r="N66" i="18" s="1"/>
  <c r="R66" i="18" s="1"/>
  <c r="L130" i="18"/>
  <c r="L194" i="18"/>
  <c r="N194" i="18" s="1"/>
  <c r="R194" i="18" s="1"/>
  <c r="L180" i="18"/>
  <c r="N180" i="18" s="1"/>
  <c r="R180" i="18" s="1"/>
  <c r="L126" i="18"/>
  <c r="L27" i="18"/>
  <c r="L91" i="18"/>
  <c r="N91" i="18" s="1"/>
  <c r="R91" i="18" s="1"/>
  <c r="L155" i="18"/>
  <c r="L76" i="18"/>
  <c r="L34" i="18"/>
  <c r="L131" i="18"/>
  <c r="L38" i="18"/>
  <c r="L42" i="18"/>
  <c r="L86" i="18"/>
  <c r="L147" i="18"/>
  <c r="L78" i="18"/>
  <c r="L193" i="18"/>
  <c r="L115" i="18"/>
  <c r="N133" i="18" l="1"/>
  <c r="R133" i="18" s="1"/>
  <c r="N21" i="18"/>
  <c r="R21" i="18" s="1"/>
  <c r="N149" i="18"/>
  <c r="R149" i="18" s="1"/>
  <c r="N102" i="18"/>
  <c r="R102" i="18" s="1"/>
  <c r="N140" i="18"/>
  <c r="R140" i="18" s="1"/>
  <c r="N41" i="18"/>
  <c r="R41" i="18" s="1"/>
  <c r="N162" i="18"/>
  <c r="R162" i="18" s="1"/>
  <c r="N63" i="18"/>
  <c r="R63" i="18" s="1"/>
  <c r="N129" i="18"/>
  <c r="R129" i="18" s="1"/>
  <c r="N23" i="18"/>
  <c r="R23" i="18" s="1"/>
  <c r="N49" i="18"/>
  <c r="R49" i="18" s="1"/>
  <c r="N204" i="18"/>
  <c r="R204" i="18" s="1"/>
  <c r="N128" i="18"/>
  <c r="R128" i="18" s="1"/>
  <c r="N111" i="18"/>
  <c r="R111" i="18" s="1"/>
  <c r="N152" i="18"/>
  <c r="R152" i="18" s="1"/>
  <c r="N208" i="18"/>
  <c r="R208" i="18" s="1"/>
  <c r="N57" i="18"/>
  <c r="R57" i="18" s="1"/>
  <c r="N54" i="18"/>
  <c r="R54" i="18" s="1"/>
  <c r="N47" i="18"/>
  <c r="R47" i="18" s="1"/>
  <c r="N136" i="18"/>
  <c r="R136" i="18" s="1"/>
  <c r="N96" i="18"/>
  <c r="R96" i="18" s="1"/>
  <c r="N206" i="18"/>
  <c r="R206" i="18" s="1"/>
  <c r="N73" i="18"/>
  <c r="R73" i="18" s="1"/>
  <c r="N75" i="18"/>
  <c r="R75" i="18" s="1"/>
  <c r="N173" i="18"/>
  <c r="R173" i="18" s="1"/>
  <c r="N43" i="18"/>
  <c r="R43" i="18" s="1"/>
  <c r="N106" i="18"/>
  <c r="R106" i="18" s="1"/>
  <c r="N113" i="18"/>
  <c r="R113" i="18" s="1"/>
  <c r="N100" i="18"/>
  <c r="R100" i="18" s="1"/>
  <c r="N37" i="18"/>
  <c r="R37" i="18" s="1"/>
  <c r="N26" i="18"/>
  <c r="R26" i="18" s="1"/>
  <c r="N95" i="18"/>
  <c r="R95" i="18" s="1"/>
  <c r="N170" i="18"/>
  <c r="R170" i="18" s="1"/>
  <c r="N80" i="18"/>
  <c r="R80" i="18" s="1"/>
  <c r="N159" i="18"/>
  <c r="R159" i="18" s="1"/>
  <c r="N84" i="18"/>
  <c r="R84" i="18" s="1"/>
  <c r="N182" i="18"/>
  <c r="R182" i="18" s="1"/>
  <c r="N53" i="18"/>
  <c r="R53" i="18" s="1"/>
  <c r="N110" i="18"/>
  <c r="R110" i="18" s="1"/>
  <c r="N122" i="18"/>
  <c r="R122" i="18" s="1"/>
  <c r="N137" i="18"/>
  <c r="R137" i="18" s="1"/>
  <c r="N98" i="18"/>
  <c r="R98" i="18" s="1"/>
  <c r="N117" i="18"/>
  <c r="R117" i="18" s="1"/>
  <c r="N166" i="18"/>
  <c r="R166" i="18" s="1"/>
  <c r="N176" i="18"/>
  <c r="R176" i="18" s="1"/>
  <c r="N35" i="18"/>
  <c r="R35" i="18" s="1"/>
  <c r="N167" i="18"/>
  <c r="R167" i="18" s="1"/>
  <c r="N126" i="18"/>
  <c r="R126" i="18" s="1"/>
  <c r="N179" i="18"/>
  <c r="R179" i="18" s="1"/>
  <c r="N187" i="18"/>
  <c r="R187" i="18" s="1"/>
  <c r="N32" i="18"/>
  <c r="R32" i="18" s="1"/>
  <c r="N192" i="18"/>
  <c r="R192" i="18" s="1"/>
  <c r="N148" i="18"/>
  <c r="R148" i="18" s="1"/>
  <c r="N121" i="18"/>
  <c r="R121" i="18" s="1"/>
  <c r="N190" i="18"/>
  <c r="R190" i="18" s="1"/>
  <c r="N195" i="18"/>
  <c r="R195" i="18" s="1"/>
  <c r="N25" i="18"/>
  <c r="R25" i="18" s="1"/>
  <c r="N94" i="18"/>
  <c r="R94" i="18" s="1"/>
  <c r="N82" i="18"/>
  <c r="R82" i="18" s="1"/>
  <c r="N207" i="18"/>
  <c r="R207" i="18" s="1"/>
  <c r="N181" i="18"/>
  <c r="R181" i="18" s="1"/>
  <c r="N65" i="18"/>
  <c r="R65" i="18" s="1"/>
  <c r="N161" i="18"/>
  <c r="R161" i="18" s="1"/>
  <c r="N120" i="18"/>
  <c r="R120" i="18" s="1"/>
  <c r="N183" i="18"/>
  <c r="R183" i="18" s="1"/>
  <c r="N109" i="18"/>
  <c r="R109" i="18" s="1"/>
  <c r="N196" i="18"/>
  <c r="R196" i="18" s="1"/>
  <c r="N177" i="18"/>
  <c r="R177" i="18" s="1"/>
  <c r="N64" i="18"/>
  <c r="R64" i="18" s="1"/>
  <c r="N105" i="18"/>
  <c r="R105" i="18" s="1"/>
  <c r="N119" i="18"/>
  <c r="R119" i="18" s="1"/>
  <c r="N154" i="18"/>
  <c r="R154" i="18" s="1"/>
  <c r="N175" i="18"/>
  <c r="R175" i="18" s="1"/>
  <c r="N116" i="18"/>
  <c r="R116" i="18" s="1"/>
  <c r="N107" i="18"/>
  <c r="R107" i="18" s="1"/>
  <c r="N160" i="18"/>
  <c r="R160" i="18" s="1"/>
  <c r="N114" i="18"/>
  <c r="R114" i="18" s="1"/>
  <c r="N205" i="18"/>
  <c r="R205" i="18" s="1"/>
  <c r="N45" i="18"/>
  <c r="R45" i="18" s="1"/>
  <c r="N97" i="18"/>
  <c r="R97" i="18" s="1"/>
  <c r="N200" i="18"/>
  <c r="R200" i="18" s="1"/>
  <c r="N85" i="18"/>
  <c r="R85" i="18" s="1"/>
  <c r="N30" i="18"/>
  <c r="R30" i="18" s="1"/>
  <c r="N62" i="18"/>
  <c r="R62" i="18" s="1"/>
  <c r="N132" i="18"/>
  <c r="R132" i="18" s="1"/>
  <c r="N191" i="18"/>
  <c r="R191" i="18" s="1"/>
  <c r="N72" i="18"/>
  <c r="R72" i="18" s="1"/>
  <c r="N101" i="18"/>
  <c r="R101" i="18" s="1"/>
  <c r="N150" i="18"/>
  <c r="R150" i="18" s="1"/>
  <c r="N188" i="18"/>
  <c r="R188" i="18" s="1"/>
  <c r="N70" i="18"/>
  <c r="R70" i="18" s="1"/>
  <c r="N130" i="18"/>
  <c r="R130" i="18" s="1"/>
  <c r="N55" i="18"/>
  <c r="R55" i="18" s="1"/>
  <c r="N99" i="18"/>
  <c r="R99" i="18" s="1"/>
  <c r="N151" i="18"/>
  <c r="R151" i="18" s="1"/>
  <c r="N58" i="18"/>
  <c r="R58" i="18" s="1"/>
  <c r="N127" i="18"/>
  <c r="R127" i="18" s="1"/>
  <c r="N93" i="18"/>
  <c r="R93" i="18" s="1"/>
  <c r="N143" i="18"/>
  <c r="R143" i="18" s="1"/>
  <c r="N184" i="18"/>
  <c r="R184" i="18" s="1"/>
  <c r="N211" i="18"/>
  <c r="R211" i="18" s="1"/>
  <c r="N40" i="18"/>
  <c r="R40" i="18" s="1"/>
  <c r="N145" i="18"/>
  <c r="R145" i="18" s="1"/>
  <c r="N90" i="18"/>
  <c r="R90" i="18" s="1"/>
  <c r="N199" i="18"/>
  <c r="R199" i="18" s="1"/>
  <c r="N135" i="18"/>
  <c r="R135" i="18" s="1"/>
  <c r="N38" i="18"/>
  <c r="R38" i="18" s="1"/>
  <c r="N209" i="18"/>
  <c r="R209" i="18" s="1"/>
  <c r="N178" i="18"/>
  <c r="R178" i="18" s="1"/>
  <c r="N36" i="18"/>
  <c r="R36" i="18" s="1"/>
  <c r="N78" i="18"/>
  <c r="R78" i="18" s="1"/>
  <c r="N131" i="18"/>
  <c r="R131" i="18" s="1"/>
  <c r="N155" i="18"/>
  <c r="R155" i="18" s="1"/>
  <c r="N186" i="18"/>
  <c r="R186" i="18" s="1"/>
  <c r="N168" i="18"/>
  <c r="R168" i="18" s="1"/>
  <c r="N67" i="18"/>
  <c r="R67" i="18" s="1"/>
  <c r="N51" i="18"/>
  <c r="R51" i="18" s="1"/>
  <c r="N46" i="18"/>
  <c r="R46" i="18" s="1"/>
  <c r="M13" i="18"/>
  <c r="N27" i="18"/>
  <c r="R27" i="18" s="1"/>
  <c r="N76" i="18"/>
  <c r="R76" i="18" s="1"/>
  <c r="N34" i="18"/>
  <c r="R34" i="18" s="1"/>
  <c r="N83" i="18"/>
  <c r="R83" i="18" s="1"/>
  <c r="L13" i="18"/>
  <c r="N56" i="18"/>
  <c r="M212" i="18"/>
  <c r="N147" i="18"/>
  <c r="R147" i="18" s="1"/>
  <c r="N115" i="18"/>
  <c r="R115" i="18" s="1"/>
  <c r="L212" i="18"/>
  <c r="L14" i="18"/>
  <c r="N20" i="18"/>
  <c r="N141" i="18"/>
  <c r="R141" i="18" s="1"/>
  <c r="N165" i="18"/>
  <c r="R165" i="18" s="1"/>
  <c r="N86" i="18"/>
  <c r="R86" i="18" s="1"/>
  <c r="N193" i="18"/>
  <c r="R193" i="18" s="1"/>
  <c r="N42" i="18"/>
  <c r="R42" i="18" s="1"/>
  <c r="N50" i="18"/>
  <c r="R50" i="18" s="1"/>
  <c r="R56" i="18" l="1"/>
  <c r="R13" i="18" s="1"/>
  <c r="N13" i="18"/>
  <c r="R20" i="18"/>
  <c r="N14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<sst xmlns="http://schemas.openxmlformats.org/spreadsheetml/2006/main" count="418" uniqueCount="100">
  <si>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</si>
  <si>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</si>
  <si>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</si>
  <si>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</si>
  <si>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</si>
  <si>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</si>
  <si>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</si>
  <si>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</si>
  <si>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</si>
  <si>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</si>
  <si>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</si>
  <si>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</si>
  <si>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</si>
  <si>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</si>
  <si>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</si>
  <si>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</si>
  <si>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</si>
  <si>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</si>
  <si>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</si>
  <si>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</si>
  <si>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</si>
  <si>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</si>
  <si>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</si>
  <si>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</si>
  <si>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</si>
  <si>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</si>
  <si>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</si>
  <si>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</si>
  <si>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</si>
  <si>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</si>
  <si>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</si>
  <si>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</si>
  <si>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</si>
  <si>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</si>
  <si>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</si>
  <si>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</si>
  <si>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</si>
  <si>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</si>
  <si>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</si>
  <si>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</si>
  <si>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</si>
  <si>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</si>
  <si>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</si>
  <si>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</si>
  <si>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</si>
  <si>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</si>
  <si>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</si>
  <si>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</si>
  <si>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</si>
  <si>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</si>
  <si>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</si>
  <si>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</si>
  <si>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</si>
  <si>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</si>
  <si>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</si>
  <si>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</si>
  <si>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</si>
  <si>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</si>
  <si>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</si>
  <si>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</si>
  <si>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</si>
  <si>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</si>
  <si>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</si>
  <si>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</si>
  <si>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</si>
  <si>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</si>
  <si>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</si>
  <si>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</si>
  <si>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</si>
  <si>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</si>
  <si>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</si>
  <si>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</si>
  <si>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</si>
  <si>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</si>
  <si>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</si>
  <si>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</si>
  <si>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</si>
  <si>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</si>
  <si>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</si>
  <si>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</si>
  <si>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</si>
  <si>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</si>
  <si>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</si>
  <si>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 xml:space="preserve">    &lt;&lt; OKLAHOMA TRANSMISSION COMPANY &gt;&gt;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</si>
  <si>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</si>
  <si>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</si>
  <si>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</si>
  <si>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</si>
  <si>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</si>
  <si>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</si>
  <si>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</si>
  <si>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</si>
  <si>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</si>
  <si>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</si>
  <si>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</si>
  <si>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</si>
  <si>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</si>
  <si>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AEPTCo Formula Rate -- FERC Docket ER18-194</t>
  </si>
  <si>
    <t>Network Customer True-Up (Schedule 1 charges)</t>
  </si>
  <si>
    <t>2023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</si>
</sst>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0" fontId="0" fillId="0" borderId="26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7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1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1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1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1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1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7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3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66" fontId="25" fillId="0" borderId="0" xfId="0" applyNumberFormat="1" applyFont="1" applyProtection="1"/>
    <xf numFmtId="0" fontId="0" fillId="0" borderId="35" xfId="0" applyBorder="1" applyProtection="1"/>
    <xf numFmtId="0" fontId="0" fillId="0" borderId="36" xfId="0" applyBorder="1" applyProtection="1"/>
    <xf numFmtId="0" fontId="0" fillId="0" borderId="35" xfId="0" pivotButton="1" applyBorder="1" applyProtection="1"/>
    <xf numFmtId="0" fontId="0" fillId="0" borderId="37" xfId="0" applyBorder="1" applyProtection="1"/>
    <xf numFmtId="17" fontId="0" fillId="0" borderId="35" xfId="0" applyNumberFormat="1" applyBorder="1" applyProtection="1"/>
    <xf numFmtId="17" fontId="0" fillId="0" borderId="38" xfId="0" applyNumberFormat="1" applyBorder="1" applyProtection="1"/>
    <xf numFmtId="17" fontId="0" fillId="0" borderId="39" xfId="0" applyNumberFormat="1" applyBorder="1" applyProtection="1"/>
    <xf numFmtId="166" fontId="0" fillId="0" borderId="35" xfId="0" applyNumberFormat="1" applyBorder="1" applyProtection="1"/>
    <xf numFmtId="166" fontId="0" fillId="0" borderId="38" xfId="0" applyNumberFormat="1" applyBorder="1" applyProtection="1"/>
    <xf numFmtId="166" fontId="0" fillId="0" borderId="39" xfId="0" applyNumberFormat="1" applyBorder="1" applyProtection="1"/>
    <xf numFmtId="0" fontId="0" fillId="0" borderId="40" xfId="0" applyBorder="1" applyProtection="1"/>
    <xf numFmtId="0" fontId="0" fillId="0" borderId="41" xfId="0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166" fontId="25" fillId="0" borderId="35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39" xfId="0" applyNumberFormat="1" applyFont="1" applyBorder="1" applyProtection="1"/>
    <xf numFmtId="0" fontId="0" fillId="0" borderId="43" xfId="0" applyBorder="1" applyProtection="1"/>
    <xf numFmtId="0" fontId="0" fillId="0" borderId="44" xfId="0" applyBorder="1" applyProtection="1"/>
    <xf numFmtId="166" fontId="0" fillId="0" borderId="43" xfId="0" applyNumberFormat="1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800.59710486111" createdVersion="6" refreshedVersion="8" recordCount="192" xr:uid="{00000000-000A-0000-FFFF-FFFF9E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4-12-02T00:00:00" count="180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3-01-01T00:00:00" u="1"/>
        <d v="2023-02-01T00:00:00" u="1"/>
        <d v="2023-03-01T00:00:00" u="1"/>
        <d v="2023-04-01T00:00:00" u="1"/>
        <d v="2023-05-01T00:00:00" u="1"/>
        <d v="2023-06-01T00:00:00" u="1"/>
        <d v="2023-07-01T00:00:00" u="1"/>
        <d v="2023-08-01T00:00:00" u="1"/>
        <d v="2023-09-01T00:00:00" u="1"/>
        <d v="2023-10-01T00:00:00" u="1"/>
        <d v="2023-11-01T00:00:00" u="1"/>
        <d v="2023-12-01T00:00:00" u="1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4-02-05T00:00:00" maxDate="2025-01-04T00:00:00"/>
    </cacheField>
    <cacheField name="Payment Received*" numFmtId="14">
      <sharedItems containsSemiMixedTypes="0" containsNonDate="0" containsDate="1" containsString="0" minDate="2024-02-26T00:00:00" maxDate="2025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151"/>
    </cacheField>
    <cacheField name="Projected Rate (as Invoiced)" numFmtId="164">
      <sharedItems containsSemiMixedTypes="0" containsString="0" containsNumber="1" minValue="8.3058817739101354" maxValue="8.3058817739101354"/>
    </cacheField>
    <cacheField name="Actual True-Up Rate" numFmtId="164">
      <sharedItems containsSemiMixedTypes="0" containsString="0" containsNumber="1" minValue="6.4847882839410547" maxValue="6.4847882839410547"/>
    </cacheField>
    <cacheField name="True-Up Charge" numFmtId="164">
      <sharedItems containsSemiMixedTypes="0" containsString="0" containsNumber="1" minValue="6.4847882839410547" maxValue="26918.356166639318"/>
    </cacheField>
    <cacheField name="Invoiced*** Charge (proj.)" numFmtId="164">
      <sharedItems containsSemiMixedTypes="0" containsString="0" containsNumber="1" minValue="8.3058817739101354" maxValue="34477.71524350097"/>
    </cacheField>
    <cacheField name="True-Up w/o Interest" numFmtId="164">
      <sharedItems containsSemiMixedTypes="0" containsString="0" containsNumber="1" minValue="-7559.3590768616523" maxValue="-1.8210934899690807"/>
    </cacheField>
    <cacheField name="Interest" numFmtId="164">
      <sharedItems containsSemiMixedTypes="0" containsString="0" containsNumber="1" minValue="-607.25409191429867" maxValue="-0.14629103635613072"/>
    </cacheField>
    <cacheField name="2023 True Up Including Interest" numFmtId="164">
      <sharedItems containsSemiMixedTypes="0" containsString="0" containsNumber="1" minValue="-8166.6131687759507" maxValue="-1.9673845263252114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8166.6131687759507" maxValue="-1.96738452632521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4-02-05T00:00:00"/>
    <d v="2024-02-26T00:00:00"/>
    <x v="0"/>
    <n v="9"/>
    <n v="3252"/>
    <n v="8.3058817739101354"/>
    <n v="6.4847882839410547"/>
    <n v="21088.53149937631"/>
    <n v="27010.72752875576"/>
    <n v="-5922.1960293794509"/>
    <n v="-475.73845023013712"/>
    <n v="-6397.9344796095884"/>
    <n v="0"/>
    <n v="0"/>
    <n v="0"/>
    <n v="-6397.9344796095884"/>
  </r>
  <r>
    <x v="1"/>
    <d v="2024-03-05T00:00:00"/>
    <d v="2024-03-25T00:00:00"/>
    <x v="0"/>
    <n v="9"/>
    <n v="2338"/>
    <n v="8.3058817739101354"/>
    <n v="6.4847882839410547"/>
    <n v="15161.435007854187"/>
    <n v="19419.151587401895"/>
    <n v="-4257.7165795477085"/>
    <n v="-342.02844300063367"/>
    <n v="-4599.7450225483426"/>
    <n v="0"/>
    <n v="0"/>
    <n v="0"/>
    <n v="-4599.7450225483426"/>
  </r>
  <r>
    <x v="2"/>
    <d v="2024-04-03T00:00:00"/>
    <d v="2024-04-24T00:00:00"/>
    <x v="0"/>
    <n v="9"/>
    <n v="2216"/>
    <n v="8.3058817739101354"/>
    <n v="6.4847882839410547"/>
    <n v="14370.290837213377"/>
    <n v="18405.834010984861"/>
    <n v="-4035.5431737714844"/>
    <n v="-324.18093656518568"/>
    <n v="-4359.7241103366705"/>
    <n v="0"/>
    <n v="0"/>
    <n v="0"/>
    <n v="-4359.7241103366705"/>
  </r>
  <r>
    <x v="3"/>
    <d v="2024-05-03T00:00:00"/>
    <d v="2024-05-24T00:00:00"/>
    <x v="0"/>
    <n v="9"/>
    <n v="2777"/>
    <n v="8.3058817739101354"/>
    <n v="6.4847882839410547"/>
    <n v="18008.257064504309"/>
    <n v="23065.433686148444"/>
    <n v="-5057.1766216441356"/>
    <n v="-406.25020796097505"/>
    <n v="-5463.4268296051105"/>
    <n v="0"/>
    <n v="0"/>
    <n v="0"/>
    <n v="-5463.4268296051105"/>
  </r>
  <r>
    <x v="4"/>
    <d v="2024-06-05T00:00:00"/>
    <d v="2024-06-24T00:00:00"/>
    <x v="0"/>
    <n v="9"/>
    <n v="3245"/>
    <n v="8.3058817739101354"/>
    <n v="6.4847882839410547"/>
    <n v="21043.137981388722"/>
    <n v="26952.58635633839"/>
    <n v="-5909.4483749496685"/>
    <n v="-474.71441297564417"/>
    <n v="-6384.1627879253128"/>
    <n v="0"/>
    <n v="0"/>
    <n v="0"/>
    <n v="-6384.1627879253128"/>
  </r>
  <r>
    <x v="5"/>
    <d v="2024-07-03T00:00:00"/>
    <d v="2024-07-24T00:00:00"/>
    <x v="0"/>
    <n v="9"/>
    <n v="4080"/>
    <n v="8.3058817739101354"/>
    <n v="6.4847882839410547"/>
    <n v="26457.936198479503"/>
    <n v="33887.997637553352"/>
    <n v="-7430.0614390738483"/>
    <n v="-596.86742833301332"/>
    <n v="-8026.9288674068612"/>
    <n v="0"/>
    <n v="0"/>
    <n v="0"/>
    <n v="-8026.9288674068612"/>
  </r>
  <r>
    <x v="6"/>
    <d v="2024-08-05T00:00:00"/>
    <d v="2024-08-26T00:00:00"/>
    <x v="0"/>
    <n v="9"/>
    <n v="4149"/>
    <n v="8.3058817739101354"/>
    <n v="6.4847882839410547"/>
    <n v="26905.386590071437"/>
    <n v="34461.103479953148"/>
    <n v="-7555.7168898817108"/>
    <n v="-606.96150984158635"/>
    <n v="-8162.6783997232969"/>
    <n v="0"/>
    <n v="0"/>
    <n v="0"/>
    <n v="-8162.6783997232969"/>
  </r>
  <r>
    <x v="7"/>
    <d v="2024-09-04T00:00:00"/>
    <d v="2024-09-24T00:00:00"/>
    <x v="0"/>
    <n v="9"/>
    <n v="4151"/>
    <n v="8.3058817739101354"/>
    <n v="6.4847882839410547"/>
    <n v="26918.356166639318"/>
    <n v="34477.71524350097"/>
    <n v="-7559.3590768616523"/>
    <n v="-607.25409191429867"/>
    <n v="-8166.6131687759507"/>
    <n v="0"/>
    <n v="0"/>
    <n v="0"/>
    <n v="-8166.6131687759507"/>
  </r>
  <r>
    <x v="8"/>
    <d v="2024-10-03T00:00:00"/>
    <d v="2024-10-24T00:00:00"/>
    <x v="0"/>
    <n v="9"/>
    <n v="3859"/>
    <n v="8.3058817739101354"/>
    <n v="6.4847882839410547"/>
    <n v="25024.797987728529"/>
    <n v="32052.397765519214"/>
    <n v="-7027.599777790685"/>
    <n v="-564.53710929830845"/>
    <n v="-7592.1368870889937"/>
    <n v="0"/>
    <n v="0"/>
    <n v="0"/>
    <n v="-7592.1368870889937"/>
  </r>
  <r>
    <x v="9"/>
    <d v="2024-11-05T00:00:00"/>
    <d v="2024-11-25T00:00:00"/>
    <x v="0"/>
    <n v="9"/>
    <n v="3429"/>
    <n v="8.3058817739101354"/>
    <n v="6.4847882839410547"/>
    <n v="22236.339025633875"/>
    <n v="28480.868602737854"/>
    <n v="-6244.5295771039782"/>
    <n v="-501.63196366517229"/>
    <n v="-6746.1615407691506"/>
    <n v="0"/>
    <n v="0"/>
    <n v="0"/>
    <n v="-6746.1615407691506"/>
  </r>
  <r>
    <x v="10"/>
    <d v="2024-12-04T00:00:00"/>
    <d v="2024-12-24T00:00:00"/>
    <x v="0"/>
    <n v="9"/>
    <n v="2220"/>
    <n v="8.3058817739101354"/>
    <n v="6.4847882839410547"/>
    <n v="14396.229990349142"/>
    <n v="18439.057538080502"/>
    <n v="-4042.82754773136"/>
    <n v="-324.7661007106102"/>
    <n v="-4367.5936484419699"/>
    <n v="0"/>
    <n v="0"/>
    <n v="0"/>
    <n v="-4367.5936484419699"/>
  </r>
  <r>
    <x v="11"/>
    <d v="2025-01-03T00:00:00"/>
    <d v="2025-01-24T00:00:00"/>
    <x v="0"/>
    <n v="9"/>
    <n v="2569"/>
    <n v="8.3058817739101354"/>
    <n v="6.4847882839410547"/>
    <n v="16659.421101444568"/>
    <n v="21337.810277175136"/>
    <n v="-4678.3891757305682"/>
    <n v="-375.82167239889981"/>
    <n v="-5054.2108481294681"/>
    <n v="0"/>
    <n v="0"/>
    <n v="0"/>
    <n v="-5054.2108481294681"/>
  </r>
  <r>
    <x v="0"/>
    <d v="2024-02-05T00:00:00"/>
    <d v="2024-02-26T00:00:00"/>
    <x v="1"/>
    <n v="9"/>
    <n v="3306"/>
    <n v="8.3058817739101354"/>
    <n v="6.4847882839410547"/>
    <n v="21438.710066709125"/>
    <n v="27459.245144546909"/>
    <n v="-6020.5350778377833"/>
    <n v="-483.63816619336825"/>
    <n v="-6504.1732440311516"/>
    <n v="0"/>
    <n v="0"/>
    <n v="0"/>
    <n v="-6504.1732440311516"/>
  </r>
  <r>
    <x v="1"/>
    <d v="2024-03-05T00:00:00"/>
    <d v="2024-03-25T00:00:00"/>
    <x v="1"/>
    <n v="9"/>
    <n v="2611"/>
    <n v="8.3058817739101354"/>
    <n v="6.4847882839410547"/>
    <n v="16931.782209370092"/>
    <n v="21686.657311679362"/>
    <n v="-4754.87510230927"/>
    <n v="-381.9658959258573"/>
    <n v="-5136.8409982351277"/>
    <n v="0"/>
    <n v="0"/>
    <n v="0"/>
    <n v="-5136.8409982351277"/>
  </r>
  <r>
    <x v="2"/>
    <d v="2024-04-03T00:00:00"/>
    <d v="2024-04-24T00:00:00"/>
    <x v="1"/>
    <n v="9"/>
    <n v="2302"/>
    <n v="8.3058817739101354"/>
    <n v="6.4847882839410547"/>
    <n v="14927.982629632308"/>
    <n v="19120.139843541132"/>
    <n v="-4192.1572139088239"/>
    <n v="-336.76196569181292"/>
    <n v="-4528.9191796006371"/>
    <n v="0"/>
    <n v="0"/>
    <n v="0"/>
    <n v="-4528.9191796006371"/>
  </r>
  <r>
    <x v="3"/>
    <d v="2024-05-03T00:00:00"/>
    <d v="2024-05-24T00:00:00"/>
    <x v="1"/>
    <n v="9"/>
    <n v="2486"/>
    <n v="8.3058817739101354"/>
    <n v="6.4847882839410547"/>
    <n v="16121.183673877462"/>
    <n v="20648.422089940595"/>
    <n v="-4527.2384160631336"/>
    <n v="-363.67951638134099"/>
    <n v="-4890.9179324444749"/>
    <n v="0"/>
    <n v="0"/>
    <n v="0"/>
    <n v="-4890.9179324444749"/>
  </r>
  <r>
    <x v="4"/>
    <d v="2024-06-05T00:00:00"/>
    <d v="2024-06-24T00:00:00"/>
    <x v="1"/>
    <n v="9"/>
    <n v="2970"/>
    <n v="8.3058817739101354"/>
    <n v="6.4847882839410547"/>
    <n v="19259.821203304931"/>
    <n v="24668.4688685131"/>
    <n v="-5408.6476652081692"/>
    <n v="-434.48437797770828"/>
    <n v="-5843.1320431858776"/>
    <n v="0"/>
    <n v="0"/>
    <n v="0"/>
    <n v="-5843.1320431858776"/>
  </r>
  <r>
    <x v="5"/>
    <d v="2024-07-03T00:00:00"/>
    <d v="2024-07-24T00:00:00"/>
    <x v="1"/>
    <n v="9"/>
    <n v="3483"/>
    <n v="8.3058817739101354"/>
    <n v="6.4847882839410547"/>
    <n v="22586.517592966695"/>
    <n v="28929.386218529002"/>
    <n v="-6342.868625562307"/>
    <n v="-509.53167962840331"/>
    <n v="-6852.4003051907102"/>
    <n v="0"/>
    <n v="0"/>
    <n v="0"/>
    <n v="-6852.4003051907102"/>
  </r>
  <r>
    <x v="6"/>
    <d v="2024-08-05T00:00:00"/>
    <d v="2024-08-26T00:00:00"/>
    <x v="1"/>
    <n v="9"/>
    <n v="3510"/>
    <n v="8.3058817739101354"/>
    <n v="6.4847882839410547"/>
    <n v="22761.606876633101"/>
    <n v="29153.645026424576"/>
    <n v="-6392.038149791475"/>
    <n v="-513.48153761001879"/>
    <n v="-6905.5196874014937"/>
    <n v="0"/>
    <n v="0"/>
    <n v="0"/>
    <n v="-6905.5196874014937"/>
  </r>
  <r>
    <x v="7"/>
    <d v="2024-09-04T00:00:00"/>
    <d v="2024-09-24T00:00:00"/>
    <x v="1"/>
    <n v="9"/>
    <n v="3574"/>
    <n v="8.3058817739101354"/>
    <n v="6.4847882839410547"/>
    <n v="23176.633326805328"/>
    <n v="29685.221459954824"/>
    <n v="-6508.5881331494966"/>
    <n v="-522.84416393681124"/>
    <n v="-7031.4322970863077"/>
    <n v="0"/>
    <n v="0"/>
    <n v="0"/>
    <n v="-7031.4322970863077"/>
  </r>
  <r>
    <x v="8"/>
    <d v="2024-10-03T00:00:00"/>
    <d v="2024-10-24T00:00:00"/>
    <x v="1"/>
    <n v="9"/>
    <n v="3188"/>
    <n v="8.3058817739101354"/>
    <n v="6.4847882839410547"/>
    <n v="20673.505049204083"/>
    <n v="26479.151095225512"/>
    <n v="-5805.6460460214294"/>
    <n v="-466.37582390334472"/>
    <n v="-6272.0218699247744"/>
    <n v="0"/>
    <n v="0"/>
    <n v="0"/>
    <n v="-6272.0218699247744"/>
  </r>
  <r>
    <x v="9"/>
    <d v="2024-11-05T00:00:00"/>
    <d v="2024-11-25T00:00:00"/>
    <x v="1"/>
    <n v="9"/>
    <n v="2793"/>
    <n v="8.3058817739101354"/>
    <n v="6.4847882839410547"/>
    <n v="18112.013677047365"/>
    <n v="23198.327794531007"/>
    <n v="-5086.3141174836419"/>
    <n v="-408.59086454267316"/>
    <n v="-5494.9049820263153"/>
    <n v="0"/>
    <n v="0"/>
    <n v="0"/>
    <n v="-5494.9049820263153"/>
  </r>
  <r>
    <x v="10"/>
    <d v="2024-12-04T00:00:00"/>
    <d v="2024-12-24T00:00:00"/>
    <x v="1"/>
    <n v="9"/>
    <n v="2339"/>
    <n v="8.3058817739101354"/>
    <n v="6.4847882839410547"/>
    <n v="15167.919796138127"/>
    <n v="19427.457469175806"/>
    <n v="-4259.5376730376793"/>
    <n v="-342.17473403698978"/>
    <n v="-4601.7124070746686"/>
    <n v="0"/>
    <n v="0"/>
    <n v="0"/>
    <n v="-4601.7124070746686"/>
  </r>
  <r>
    <x v="11"/>
    <d v="2025-01-03T00:00:00"/>
    <d v="2025-01-24T00:00:00"/>
    <x v="1"/>
    <n v="9"/>
    <n v="2520"/>
    <n v="8.3058817739101354"/>
    <n v="6.4847882839410547"/>
    <n v="16341.666475531458"/>
    <n v="20930.82207025354"/>
    <n v="-4589.1555947220822"/>
    <n v="-368.65341161744942"/>
    <n v="-4957.8090063395321"/>
    <n v="0"/>
    <n v="0"/>
    <n v="0"/>
    <n v="-4957.8090063395321"/>
  </r>
  <r>
    <x v="0"/>
    <d v="2024-02-05T00:00:00"/>
    <d v="2024-02-26T00:00:00"/>
    <x v="2"/>
    <n v="9"/>
    <n v="216"/>
    <n v="8.3058817739101354"/>
    <n v="6.4847882839410547"/>
    <n v="1400.7142693312678"/>
    <n v="1794.0704631645892"/>
    <n v="-393.35619383332141"/>
    <n v="-31.598863852924239"/>
    <n v="-424.95505768624565"/>
    <n v="0"/>
    <n v="0"/>
    <n v="0"/>
    <n v="-424.95505768624565"/>
  </r>
  <r>
    <x v="1"/>
    <d v="2024-03-05T00:00:00"/>
    <d v="2024-03-25T00:00:00"/>
    <x v="2"/>
    <n v="9"/>
    <n v="146"/>
    <n v="8.3058817739101354"/>
    <n v="6.4847882839410547"/>
    <n v="946.779089455394"/>
    <n v="1212.6587389908798"/>
    <n v="-265.87964953548578"/>
    <n v="-21.358491307995084"/>
    <n v="-287.23814084348089"/>
    <n v="0"/>
    <n v="0"/>
    <n v="0"/>
    <n v="-287.23814084348089"/>
  </r>
  <r>
    <x v="2"/>
    <d v="2024-04-03T00:00:00"/>
    <d v="2024-04-24T00:00:00"/>
    <x v="2"/>
    <n v="9"/>
    <n v="113"/>
    <n v="8.3058817739101354"/>
    <n v="6.4847882839410547"/>
    <n v="732.78107608533912"/>
    <n v="938.56464045184532"/>
    <n v="-205.7835643665062"/>
    <n v="-16.530887108242773"/>
    <n v="-222.31445147474898"/>
    <n v="0"/>
    <n v="0"/>
    <n v="0"/>
    <n v="-222.31445147474898"/>
  </r>
  <r>
    <x v="3"/>
    <d v="2024-05-03T00:00:00"/>
    <d v="2024-05-24T00:00:00"/>
    <x v="2"/>
    <n v="9"/>
    <n v="76"/>
    <n v="8.3058817739101354"/>
    <n v="6.4847882839410547"/>
    <n v="492.84390957952013"/>
    <n v="631.24701481717034"/>
    <n v="-138.40310523765021"/>
    <n v="-11.118118763065937"/>
    <n v="-149.52122400071613"/>
    <n v="0"/>
    <n v="0"/>
    <n v="0"/>
    <n v="-149.52122400071613"/>
  </r>
  <r>
    <x v="4"/>
    <d v="2024-06-05T00:00:00"/>
    <d v="2024-06-24T00:00:00"/>
    <x v="2"/>
    <n v="9"/>
    <n v="120"/>
    <n v="8.3058817739101354"/>
    <n v="6.4847882839410547"/>
    <n v="778.17459407292654"/>
    <n v="996.70581286921629"/>
    <n v="-218.53121879628975"/>
    <n v="-17.554924362735687"/>
    <n v="-236.08614315902543"/>
    <n v="0"/>
    <n v="0"/>
    <n v="0"/>
    <n v="-236.08614315902543"/>
  </r>
  <r>
    <x v="5"/>
    <d v="2024-07-03T00:00:00"/>
    <d v="2024-07-24T00:00:00"/>
    <x v="2"/>
    <n v="9"/>
    <n v="147"/>
    <n v="8.3058817739101354"/>
    <n v="6.4847882839410547"/>
    <n v="953.26387773933504"/>
    <n v="1220.96462076479"/>
    <n v="-267.70074302545493"/>
    <n v="-21.504782344351216"/>
    <n v="-289.20552536980614"/>
    <n v="0"/>
    <n v="0"/>
    <n v="0"/>
    <n v="-289.20552536980614"/>
  </r>
  <r>
    <x v="6"/>
    <d v="2024-08-05T00:00:00"/>
    <d v="2024-08-26T00:00:00"/>
    <x v="2"/>
    <n v="9"/>
    <n v="155"/>
    <n v="8.3058817739101354"/>
    <n v="6.4847882839410547"/>
    <n v="1005.1421840108635"/>
    <n v="1287.411674956071"/>
    <n v="-282.26949094520751"/>
    <n v="-22.675110635200266"/>
    <n v="-304.94460158040778"/>
    <n v="0"/>
    <n v="0"/>
    <n v="0"/>
    <n v="-304.94460158040778"/>
  </r>
  <r>
    <x v="7"/>
    <d v="2024-09-04T00:00:00"/>
    <d v="2024-09-24T00:00:00"/>
    <x v="2"/>
    <n v="9"/>
    <n v="157"/>
    <n v="8.3058817739101354"/>
    <n v="6.4847882839410547"/>
    <n v="1018.1117605787456"/>
    <n v="1304.0234385038912"/>
    <n v="-285.91167792514557"/>
    <n v="-22.967692707912523"/>
    <n v="-308.8793706330581"/>
    <n v="0"/>
    <n v="0"/>
    <n v="0"/>
    <n v="-308.8793706330581"/>
  </r>
  <r>
    <x v="8"/>
    <d v="2024-10-03T00:00:00"/>
    <d v="2024-10-24T00:00:00"/>
    <x v="2"/>
    <n v="9"/>
    <n v="126"/>
    <n v="8.3058817739101354"/>
    <n v="6.4847882839410547"/>
    <n v="817.08332377657291"/>
    <n v="1046.541103512677"/>
    <n v="-229.45777973610404"/>
    <n v="-18.432670580872472"/>
    <n v="-247.89045031697651"/>
    <n v="0"/>
    <n v="0"/>
    <n v="0"/>
    <n v="-247.89045031697651"/>
  </r>
  <r>
    <x v="9"/>
    <d v="2024-11-05T00:00:00"/>
    <d v="2024-11-25T00:00:00"/>
    <x v="2"/>
    <n v="9"/>
    <n v="112"/>
    <n v="8.3058817739101354"/>
    <n v="6.4847882839410547"/>
    <n v="726.29628780139808"/>
    <n v="930.25875867793513"/>
    <n v="-203.96247087653705"/>
    <n v="-16.384596071886641"/>
    <n v="-220.3470669484237"/>
    <n v="0"/>
    <n v="0"/>
    <n v="0"/>
    <n v="-220.3470669484237"/>
  </r>
  <r>
    <x v="10"/>
    <d v="2024-12-04T00:00:00"/>
    <d v="2024-12-24T00:00:00"/>
    <x v="2"/>
    <n v="9"/>
    <n v="93"/>
    <n v="8.3058817739101354"/>
    <n v="6.4847882839410547"/>
    <n v="603.08531040651803"/>
    <n v="772.44700497364261"/>
    <n v="-169.36169456712457"/>
    <n v="-13.605066381120158"/>
    <n v="-182.96676094824474"/>
    <n v="0"/>
    <n v="0"/>
    <n v="0"/>
    <n v="-182.96676094824474"/>
  </r>
  <r>
    <x v="11"/>
    <d v="2025-01-03T00:00:00"/>
    <d v="2025-01-24T00:00:00"/>
    <x v="2"/>
    <n v="9"/>
    <n v="128"/>
    <n v="8.3058817739101354"/>
    <n v="6.4847882839410547"/>
    <n v="830.052900344455"/>
    <n v="1063.1528670604973"/>
    <n v="-233.09996671604233"/>
    <n v="-18.725252653584732"/>
    <n v="-251.82521936962706"/>
    <n v="0"/>
    <n v="0"/>
    <n v="0"/>
    <n v="-251.82521936962706"/>
  </r>
  <r>
    <x v="0"/>
    <d v="2024-02-05T00:00:00"/>
    <d v="2024-02-26T00:00:00"/>
    <x v="3"/>
    <n v="9"/>
    <n v="1129"/>
    <n v="8.3058817739101354"/>
    <n v="6.4847882839410547"/>
    <n v="7321.3259725694506"/>
    <n v="9377.3405227445437"/>
    <n v="-2056.0145501750931"/>
    <n v="-165.16258004607158"/>
    <n v="-2221.1771302211646"/>
    <n v="0"/>
    <n v="0"/>
    <n v="0"/>
    <n v="-2221.1771302211646"/>
  </r>
  <r>
    <x v="1"/>
    <d v="2024-03-05T00:00:00"/>
    <d v="2024-03-25T00:00:00"/>
    <x v="3"/>
    <n v="9"/>
    <n v="739"/>
    <n v="8.3058817739101354"/>
    <n v="6.4847882839410547"/>
    <n v="4792.2585418324397"/>
    <n v="6138.0466309195899"/>
    <n v="-1345.7880890871502"/>
    <n v="-108.10907586718061"/>
    <n v="-1453.8971649543307"/>
    <n v="0"/>
    <n v="0"/>
    <n v="0"/>
    <n v="-1453.8971649543307"/>
  </r>
  <r>
    <x v="2"/>
    <d v="2024-04-03T00:00:00"/>
    <d v="2024-04-24T00:00:00"/>
    <x v="3"/>
    <n v="9"/>
    <n v="642"/>
    <n v="8.3058817739101354"/>
    <n v="6.4847882839410547"/>
    <n v="4163.2340782901574"/>
    <n v="5332.3760988503072"/>
    <n v="-1169.1420205601498"/>
    <n v="-93.918845340635926"/>
    <n v="-1263.0608659007858"/>
    <n v="0"/>
    <n v="0"/>
    <n v="0"/>
    <n v="-1263.0608659007858"/>
  </r>
  <r>
    <x v="3"/>
    <d v="2024-05-03T00:00:00"/>
    <d v="2024-05-24T00:00:00"/>
    <x v="3"/>
    <n v="9"/>
    <n v="581"/>
    <n v="8.3058817739101354"/>
    <n v="6.4847882839410547"/>
    <n v="3767.6619929697526"/>
    <n v="4825.7173106417886"/>
    <n v="-1058.0553176720359"/>
    <n v="-84.995092122911956"/>
    <n v="-1143.0504097949479"/>
    <n v="0"/>
    <n v="0"/>
    <n v="0"/>
    <n v="-1143.0504097949479"/>
  </r>
  <r>
    <x v="4"/>
    <d v="2024-06-05T00:00:00"/>
    <d v="2024-06-24T00:00:00"/>
    <x v="3"/>
    <n v="9"/>
    <n v="753"/>
    <n v="8.3058817739101354"/>
    <n v="6.4847882839410547"/>
    <n v="4883.0455778076139"/>
    <n v="6254.3289757543316"/>
    <n v="-1371.2833979467177"/>
    <n v="-110.15715037616644"/>
    <n v="-1481.4405483228843"/>
    <n v="0"/>
    <n v="0"/>
    <n v="0"/>
    <n v="-1481.4405483228843"/>
  </r>
  <r>
    <x v="5"/>
    <d v="2024-07-03T00:00:00"/>
    <d v="2024-07-24T00:00:00"/>
    <x v="3"/>
    <n v="9"/>
    <n v="1001"/>
    <n v="8.3058817739101354"/>
    <n v="6.4847882839410547"/>
    <n v="6491.2730722249953"/>
    <n v="8314.1876556840452"/>
    <n v="-1822.9145834590499"/>
    <n v="-146.43732739248685"/>
    <n v="-1969.3519108515368"/>
    <n v="0"/>
    <n v="0"/>
    <n v="0"/>
    <n v="-1969.3519108515368"/>
  </r>
  <r>
    <x v="6"/>
    <d v="2024-08-05T00:00:00"/>
    <d v="2024-08-26T00:00:00"/>
    <x v="3"/>
    <n v="9"/>
    <n v="961"/>
    <n v="8.3058817739101354"/>
    <n v="6.4847882839410547"/>
    <n v="6231.8815408673536"/>
    <n v="7981.9523847276405"/>
    <n v="-1750.0708438602869"/>
    <n v="-140.58568593824162"/>
    <n v="-1890.6565297985285"/>
    <n v="0"/>
    <n v="0"/>
    <n v="0"/>
    <n v="-1890.6565297985285"/>
  </r>
  <r>
    <x v="7"/>
    <d v="2024-09-04T00:00:00"/>
    <d v="2024-09-24T00:00:00"/>
    <x v="3"/>
    <n v="9"/>
    <n v="1017"/>
    <n v="8.3058817739101354"/>
    <n v="6.4847882839410547"/>
    <n v="6595.0296847680529"/>
    <n v="8447.0817640666082"/>
    <n v="-1852.0520792985553"/>
    <n v="-148.77798397418496"/>
    <n v="-2000.8300632727403"/>
    <n v="0"/>
    <n v="0"/>
    <n v="0"/>
    <n v="-2000.8300632727403"/>
  </r>
  <r>
    <x v="8"/>
    <d v="2024-10-03T00:00:00"/>
    <d v="2024-10-24T00:00:00"/>
    <x v="3"/>
    <n v="9"/>
    <n v="856"/>
    <n v="8.3058817739101354"/>
    <n v="6.4847882839410547"/>
    <n v="5550.9787710535429"/>
    <n v="7109.8347984670763"/>
    <n v="-1558.8560274135334"/>
    <n v="-125.2251271208479"/>
    <n v="-1684.0811545343813"/>
    <n v="0"/>
    <n v="0"/>
    <n v="0"/>
    <n v="-1684.0811545343813"/>
  </r>
  <r>
    <x v="9"/>
    <d v="2024-11-05T00:00:00"/>
    <d v="2024-11-25T00:00:00"/>
    <x v="3"/>
    <n v="9"/>
    <n v="786"/>
    <n v="8.3058817739101354"/>
    <n v="6.4847882839410547"/>
    <n v="5097.0435911776685"/>
    <n v="6528.423074293366"/>
    <n v="-1431.3794831156974"/>
    <n v="-114.98475457591874"/>
    <n v="-1546.3642376916162"/>
    <n v="0"/>
    <n v="0"/>
    <n v="0"/>
    <n v="-1546.3642376916162"/>
  </r>
  <r>
    <x v="10"/>
    <d v="2024-12-04T00:00:00"/>
    <d v="2024-12-24T00:00:00"/>
    <x v="3"/>
    <n v="9"/>
    <n v="463"/>
    <n v="8.3058817739101354"/>
    <n v="6.4847882839410547"/>
    <n v="3002.4569754647082"/>
    <n v="3845.6232613203929"/>
    <n v="-843.16628585568469"/>
    <n v="-67.73274983288853"/>
    <n v="-910.89903568857324"/>
    <n v="0"/>
    <n v="0"/>
    <n v="0"/>
    <n v="-910.89903568857324"/>
  </r>
  <r>
    <x v="11"/>
    <d v="2025-01-03T00:00:00"/>
    <d v="2025-01-24T00:00:00"/>
    <x v="3"/>
    <n v="9"/>
    <n v="725"/>
    <n v="8.3058817739101354"/>
    <n v="6.4847882839410547"/>
    <n v="4701.4715058572647"/>
    <n v="6021.7642860848482"/>
    <n v="-1320.2927802275835"/>
    <n v="-106.06100135819477"/>
    <n v="-1426.3537815857783"/>
    <n v="0"/>
    <n v="0"/>
    <n v="0"/>
    <n v="-1426.3537815857783"/>
  </r>
  <r>
    <x v="0"/>
    <d v="2024-02-05T00:00:00"/>
    <d v="2024-02-26T00:00:00"/>
    <x v="4"/>
    <n v="9"/>
    <n v="58"/>
    <n v="8.3058817739101354"/>
    <n v="6.4847882839410547"/>
    <n v="376.11772046858118"/>
    <n v="481.74114288678783"/>
    <n v="-105.62342241820664"/>
    <n v="-8.484880108655581"/>
    <n v="-114.10830252686222"/>
    <n v="0"/>
    <n v="0"/>
    <n v="0"/>
    <n v="-114.10830252686222"/>
  </r>
  <r>
    <x v="1"/>
    <d v="2024-03-05T00:00:00"/>
    <d v="2024-03-25T00:00:00"/>
    <x v="4"/>
    <n v="9"/>
    <n v="36"/>
    <n v="8.3058817739101354"/>
    <n v="6.4847882839410547"/>
    <n v="233.45237822187798"/>
    <n v="299.01174386076485"/>
    <n v="-65.559365638886874"/>
    <n v="-5.2664773088207069"/>
    <n v="-70.825842947707585"/>
    <n v="0"/>
    <n v="0"/>
    <n v="0"/>
    <n v="-70.825842947707585"/>
  </r>
  <r>
    <x v="2"/>
    <d v="2024-04-03T00:00:00"/>
    <d v="2024-04-24T00:00:00"/>
    <x v="4"/>
    <n v="9"/>
    <n v="29"/>
    <n v="8.3058817739101354"/>
    <n v="6.4847882839410547"/>
    <n v="188.05886023429059"/>
    <n v="240.87057144339391"/>
    <n v="-52.811711209103322"/>
    <n v="-4.2424400543277905"/>
    <n v="-57.054151263431109"/>
    <n v="0"/>
    <n v="0"/>
    <n v="0"/>
    <n v="-57.054151263431109"/>
  </r>
  <r>
    <x v="3"/>
    <d v="2024-05-03T00:00:00"/>
    <d v="2024-05-24T00:00:00"/>
    <x v="4"/>
    <n v="9"/>
    <n v="27"/>
    <n v="8.3058817739101354"/>
    <n v="6.4847882839410547"/>
    <n v="175.08928366640848"/>
    <n v="224.25880789557365"/>
    <n v="-49.169524229165177"/>
    <n v="-3.9498579816155299"/>
    <n v="-53.119382210780707"/>
    <n v="0"/>
    <n v="0"/>
    <n v="0"/>
    <n v="-53.119382210780707"/>
  </r>
  <r>
    <x v="4"/>
    <d v="2024-06-05T00:00:00"/>
    <d v="2024-06-24T00:00:00"/>
    <x v="4"/>
    <n v="9"/>
    <n v="36"/>
    <n v="8.3058817739101354"/>
    <n v="6.4847882839410547"/>
    <n v="233.45237822187798"/>
    <n v="299.01174386076485"/>
    <n v="-65.559365638886874"/>
    <n v="-5.2664773088207069"/>
    <n v="-70.825842947707585"/>
    <n v="0"/>
    <n v="0"/>
    <n v="0"/>
    <n v="-70.825842947707585"/>
  </r>
  <r>
    <x v="5"/>
    <d v="2024-07-03T00:00:00"/>
    <d v="2024-07-24T00:00:00"/>
    <x v="4"/>
    <n v="9"/>
    <n v="53"/>
    <n v="8.3058817739101354"/>
    <n v="6.4847882839410547"/>
    <n v="343.69377904887591"/>
    <n v="440.21173401723718"/>
    <n v="-96.517954968361266"/>
    <n v="-7.7534249268749287"/>
    <n v="-104.27137989523619"/>
    <n v="0"/>
    <n v="0"/>
    <n v="0"/>
    <n v="-104.27137989523619"/>
  </r>
  <r>
    <x v="6"/>
    <d v="2024-08-05T00:00:00"/>
    <d v="2024-08-26T00:00:00"/>
    <x v="4"/>
    <n v="9"/>
    <n v="53"/>
    <n v="8.3058817739101354"/>
    <n v="6.4847882839410547"/>
    <n v="343.69377904887591"/>
    <n v="440.21173401723718"/>
    <n v="-96.517954968361266"/>
    <n v="-7.7534249268749287"/>
    <n v="-104.27137989523619"/>
    <n v="0"/>
    <n v="0"/>
    <n v="0"/>
    <n v="-104.27137989523619"/>
  </r>
  <r>
    <x v="7"/>
    <d v="2024-09-04T00:00:00"/>
    <d v="2024-09-24T00:00:00"/>
    <x v="4"/>
    <n v="9"/>
    <n v="54"/>
    <n v="8.3058817739101354"/>
    <n v="6.4847882839410547"/>
    <n v="350.17856733281695"/>
    <n v="448.51761579114731"/>
    <n v="-98.339048458330353"/>
    <n v="-7.8997159632310598"/>
    <n v="-106.23876442156141"/>
    <n v="0"/>
    <n v="0"/>
    <n v="0"/>
    <n v="-106.23876442156141"/>
  </r>
  <r>
    <x v="8"/>
    <d v="2024-10-03T00:00:00"/>
    <d v="2024-10-24T00:00:00"/>
    <x v="4"/>
    <n v="9"/>
    <n v="48"/>
    <n v="8.3058817739101354"/>
    <n v="6.4847882839410547"/>
    <n v="311.26983762917064"/>
    <n v="398.68232514768647"/>
    <n v="-87.412487518515832"/>
    <n v="-7.0219697450942746"/>
    <n v="-94.434457263610113"/>
    <n v="0"/>
    <n v="0"/>
    <n v="0"/>
    <n v="-94.434457263610113"/>
  </r>
  <r>
    <x v="9"/>
    <d v="2024-11-05T00:00:00"/>
    <d v="2024-11-25T00:00:00"/>
    <x v="4"/>
    <n v="9"/>
    <n v="41"/>
    <n v="8.3058817739101354"/>
    <n v="6.4847882839410547"/>
    <n v="265.87631964158322"/>
    <n v="340.54115273031556"/>
    <n v="-74.664833088732337"/>
    <n v="-5.99793249060136"/>
    <n v="-80.662765579333694"/>
    <n v="0"/>
    <n v="0"/>
    <n v="0"/>
    <n v="-80.662765579333694"/>
  </r>
  <r>
    <x v="10"/>
    <d v="2024-12-04T00:00:00"/>
    <d v="2024-12-24T00:00:00"/>
    <x v="4"/>
    <n v="9"/>
    <n v="22"/>
    <n v="8.3058817739101354"/>
    <n v="6.4847882839410547"/>
    <n v="142.6653422467032"/>
    <n v="182.72939902602297"/>
    <n v="-40.06405677931977"/>
    <n v="-3.2184027998348759"/>
    <n v="-43.282459579154647"/>
    <n v="0"/>
    <n v="0"/>
    <n v="0"/>
    <n v="-43.282459579154647"/>
  </r>
  <r>
    <x v="11"/>
    <d v="2025-01-03T00:00:00"/>
    <d v="2025-01-24T00:00:00"/>
    <x v="4"/>
    <n v="9"/>
    <n v="37"/>
    <n v="8.3058817739101354"/>
    <n v="6.4847882839410547"/>
    <n v="239.93716650581902"/>
    <n v="307.31762563467498"/>
    <n v="-67.380459128855961"/>
    <n v="-5.4127683451768371"/>
    <n v="-72.793227474032804"/>
    <n v="0"/>
    <n v="0"/>
    <n v="0"/>
    <n v="-72.793227474032804"/>
  </r>
  <r>
    <x v="0"/>
    <d v="2024-02-05T00:00:00"/>
    <d v="2024-02-26T00:00:00"/>
    <x v="5"/>
    <n v="9"/>
    <n v="75"/>
    <n v="8.3058817739101354"/>
    <n v="6.4847882839410547"/>
    <n v="486.35912129557909"/>
    <n v="622.94113304326015"/>
    <n v="-136.58201174768107"/>
    <n v="-10.971827726709805"/>
    <n v="-147.55383947439088"/>
    <n v="0"/>
    <n v="0"/>
    <n v="0"/>
    <n v="-147.55383947439088"/>
  </r>
  <r>
    <x v="1"/>
    <d v="2024-03-05T00:00:00"/>
    <d v="2024-03-25T00:00:00"/>
    <x v="5"/>
    <n v="9"/>
    <n v="54"/>
    <n v="8.3058817739101354"/>
    <n v="6.4847882839410547"/>
    <n v="350.17856733281695"/>
    <n v="448.51761579114731"/>
    <n v="-98.339048458330353"/>
    <n v="-7.8997159632310598"/>
    <n v="-106.23876442156141"/>
    <n v="0"/>
    <n v="0"/>
    <n v="0"/>
    <n v="-106.23876442156141"/>
  </r>
  <r>
    <x v="2"/>
    <d v="2024-04-03T00:00:00"/>
    <d v="2024-04-24T00:00:00"/>
    <x v="5"/>
    <n v="9"/>
    <n v="49"/>
    <n v="8.3058817739101354"/>
    <n v="6.4847882839410547"/>
    <n v="317.75462591311168"/>
    <n v="406.98820692159666"/>
    <n v="-89.233581008484975"/>
    <n v="-7.1682607814504058"/>
    <n v="-96.401841789935375"/>
    <n v="0"/>
    <n v="0"/>
    <n v="0"/>
    <n v="-96.401841789935375"/>
  </r>
  <r>
    <x v="3"/>
    <d v="2024-05-03T00:00:00"/>
    <d v="2024-05-24T00:00:00"/>
    <x v="5"/>
    <n v="9"/>
    <n v="43"/>
    <n v="8.3058817739101354"/>
    <n v="6.4847882839410547"/>
    <n v="278.84589620946537"/>
    <n v="357.15291627813582"/>
    <n v="-78.307020068670454"/>
    <n v="-6.2905145633136215"/>
    <n v="-84.597534631984075"/>
    <n v="0"/>
    <n v="0"/>
    <n v="0"/>
    <n v="-84.597534631984075"/>
  </r>
  <r>
    <x v="4"/>
    <d v="2024-06-05T00:00:00"/>
    <d v="2024-06-24T00:00:00"/>
    <x v="5"/>
    <n v="9"/>
    <n v="50"/>
    <n v="8.3058817739101354"/>
    <n v="6.4847882839410547"/>
    <n v="324.23941419705272"/>
    <n v="415.29408869550679"/>
    <n v="-91.054674498454062"/>
    <n v="-7.314551817806537"/>
    <n v="-98.369226316260594"/>
    <n v="0"/>
    <n v="0"/>
    <n v="0"/>
    <n v="-98.369226316260594"/>
  </r>
  <r>
    <x v="5"/>
    <d v="2024-07-03T00:00:00"/>
    <d v="2024-07-24T00:00:00"/>
    <x v="5"/>
    <n v="9"/>
    <n v="59"/>
    <n v="8.3058817739101354"/>
    <n v="6.4847882839410547"/>
    <n v="382.60250875252223"/>
    <n v="490.04702466069801"/>
    <n v="-107.44451590817579"/>
    <n v="-8.631171145011713"/>
    <n v="-116.07568705318749"/>
    <n v="0"/>
    <n v="0"/>
    <n v="0"/>
    <n v="-116.07568705318749"/>
  </r>
  <r>
    <x v="6"/>
    <d v="2024-08-05T00:00:00"/>
    <d v="2024-08-26T00:00:00"/>
    <x v="5"/>
    <n v="9"/>
    <n v="60"/>
    <n v="8.3058817739101354"/>
    <n v="6.4847882839410547"/>
    <n v="389.08729703646327"/>
    <n v="498.35290643460814"/>
    <n v="-109.26560939814487"/>
    <n v="-8.7774621813678433"/>
    <n v="-118.04307157951271"/>
    <n v="0"/>
    <n v="0"/>
    <n v="0"/>
    <n v="-118.04307157951271"/>
  </r>
  <r>
    <x v="7"/>
    <d v="2024-09-04T00:00:00"/>
    <d v="2024-09-24T00:00:00"/>
    <x v="5"/>
    <n v="9"/>
    <n v="56"/>
    <n v="8.3058817739101354"/>
    <n v="6.4847882839410547"/>
    <n v="363.14814390069904"/>
    <n v="465.12937933896757"/>
    <n v="-101.98123543826853"/>
    <n v="-8.1922980359433204"/>
    <n v="-110.17353347421185"/>
    <n v="0"/>
    <n v="0"/>
    <n v="0"/>
    <n v="-110.17353347421185"/>
  </r>
  <r>
    <x v="8"/>
    <d v="2024-10-03T00:00:00"/>
    <d v="2024-10-24T00:00:00"/>
    <x v="5"/>
    <n v="9"/>
    <n v="55"/>
    <n v="8.3058817739101354"/>
    <n v="6.4847882839410547"/>
    <n v="356.663355616758"/>
    <n v="456.82349756505744"/>
    <n v="-100.16014194829944"/>
    <n v="-8.0460069995871901"/>
    <n v="-108.20614894788663"/>
    <n v="0"/>
    <n v="0"/>
    <n v="0"/>
    <n v="-108.20614894788663"/>
  </r>
  <r>
    <x v="9"/>
    <d v="2024-11-05T00:00:00"/>
    <d v="2024-11-25T00:00:00"/>
    <x v="5"/>
    <n v="9"/>
    <n v="51"/>
    <n v="8.3058817739101354"/>
    <n v="6.4847882839410547"/>
    <n v="330.72420248099377"/>
    <n v="423.59997046941692"/>
    <n v="-92.875767988423149"/>
    <n v="-7.4608428541626663"/>
    <n v="-100.33661084258581"/>
    <n v="0"/>
    <n v="0"/>
    <n v="0"/>
    <n v="-100.33661084258581"/>
  </r>
  <r>
    <x v="10"/>
    <d v="2024-12-04T00:00:00"/>
    <d v="2024-12-24T00:00:00"/>
    <x v="5"/>
    <n v="9"/>
    <n v="40"/>
    <n v="8.3058817739101354"/>
    <n v="6.4847882839410547"/>
    <n v="259.39153135764218"/>
    <n v="332.23527095640543"/>
    <n v="-72.84373959876325"/>
    <n v="-5.8516414542452297"/>
    <n v="-78.695381053008475"/>
    <n v="0"/>
    <n v="0"/>
    <n v="0"/>
    <n v="-78.695381053008475"/>
  </r>
  <r>
    <x v="11"/>
    <d v="2025-01-03T00:00:00"/>
    <d v="2025-01-24T00:00:00"/>
    <x v="5"/>
    <n v="9"/>
    <n v="51"/>
    <n v="8.3058817739101354"/>
    <n v="6.4847882839410547"/>
    <n v="330.72420248099377"/>
    <n v="423.59997046941692"/>
    <n v="-92.875767988423149"/>
    <n v="-7.4608428541626663"/>
    <n v="-100.33661084258581"/>
    <n v="0"/>
    <n v="0"/>
    <n v="0"/>
    <n v="-100.33661084258581"/>
  </r>
  <r>
    <x v="0"/>
    <d v="2024-02-05T00:00:00"/>
    <d v="2024-02-26T00:00:00"/>
    <x v="6"/>
    <n v="9"/>
    <n v="94"/>
    <n v="8.3058817739101354"/>
    <n v="6.4847882839410547"/>
    <n v="609.57009869045919"/>
    <n v="780.75288674755268"/>
    <n v="-171.18278805709349"/>
    <n v="-13.751357417476289"/>
    <n v="-184.93414547456979"/>
    <n v="0"/>
    <n v="0"/>
    <n v="0"/>
    <n v="-184.93414547456979"/>
  </r>
  <r>
    <x v="1"/>
    <d v="2024-03-05T00:00:00"/>
    <d v="2024-03-25T00:00:00"/>
    <x v="6"/>
    <n v="9"/>
    <n v="62"/>
    <n v="8.3058817739101354"/>
    <n v="6.4847882839410547"/>
    <n v="402.05687360434541"/>
    <n v="514.9646699824284"/>
    <n v="-112.90779637808299"/>
    <n v="-9.0700442540801038"/>
    <n v="-121.97784063216309"/>
    <n v="0"/>
    <n v="0"/>
    <n v="0"/>
    <n v="-121.97784063216309"/>
  </r>
  <r>
    <x v="2"/>
    <d v="2024-04-03T00:00:00"/>
    <d v="2024-04-24T00:00:00"/>
    <x v="6"/>
    <n v="9"/>
    <n v="60"/>
    <n v="8.3058817739101354"/>
    <n v="6.4847882839410547"/>
    <n v="389.08729703646327"/>
    <n v="498.35290643460814"/>
    <n v="-109.26560939814487"/>
    <n v="-8.7774621813678433"/>
    <n v="-118.04307157951271"/>
    <n v="0"/>
    <n v="0"/>
    <n v="0"/>
    <n v="-118.04307157951271"/>
  </r>
  <r>
    <x v="3"/>
    <d v="2024-05-03T00:00:00"/>
    <d v="2024-05-24T00:00:00"/>
    <x v="6"/>
    <n v="9"/>
    <n v="92"/>
    <n v="8.3058817739101354"/>
    <n v="6.4847882839410547"/>
    <n v="596.60052212257699"/>
    <n v="764.14112319973242"/>
    <n v="-167.54060107715543"/>
    <n v="-13.458775344764026"/>
    <n v="-180.99937642191946"/>
    <n v="0"/>
    <n v="0"/>
    <n v="0"/>
    <n v="-180.99937642191946"/>
  </r>
  <r>
    <x v="4"/>
    <d v="2024-06-05T00:00:00"/>
    <d v="2024-06-24T00:00:00"/>
    <x v="6"/>
    <n v="9"/>
    <n v="118"/>
    <n v="8.3058817739101354"/>
    <n v="6.4847882839410547"/>
    <n v="765.20501750504445"/>
    <n v="980.09404932139603"/>
    <n v="-214.88903181635158"/>
    <n v="-17.262342290023426"/>
    <n v="-232.15137410637499"/>
    <n v="0"/>
    <n v="0"/>
    <n v="0"/>
    <n v="-232.15137410637499"/>
  </r>
  <r>
    <x v="5"/>
    <d v="2024-07-03T00:00:00"/>
    <d v="2024-07-24T00:00:00"/>
    <x v="6"/>
    <n v="9"/>
    <n v="143"/>
    <n v="8.3058817739101354"/>
    <n v="6.4847882839410547"/>
    <n v="927.32472460357087"/>
    <n v="1187.7410936691494"/>
    <n v="-260.41636906557858"/>
    <n v="-20.919618198926692"/>
    <n v="-281.33598726450526"/>
    <n v="0"/>
    <n v="0"/>
    <n v="0"/>
    <n v="-281.33598726450526"/>
  </r>
  <r>
    <x v="6"/>
    <d v="2024-08-05T00:00:00"/>
    <d v="2024-08-26T00:00:00"/>
    <x v="6"/>
    <n v="9"/>
    <n v="151"/>
    <n v="8.3058817739101354"/>
    <n v="6.4847882839410547"/>
    <n v="979.20303087509922"/>
    <n v="1254.1881478604305"/>
    <n v="-274.98511698533127"/>
    <n v="-22.089946489775741"/>
    <n v="-297.07506347510702"/>
    <n v="0"/>
    <n v="0"/>
    <n v="0"/>
    <n v="-297.07506347510702"/>
  </r>
  <r>
    <x v="7"/>
    <d v="2024-09-04T00:00:00"/>
    <d v="2024-09-24T00:00:00"/>
    <x v="6"/>
    <n v="9"/>
    <n v="157"/>
    <n v="8.3058817739101354"/>
    <n v="6.4847882839410547"/>
    <n v="1018.1117605787456"/>
    <n v="1304.0234385038912"/>
    <n v="-285.91167792514557"/>
    <n v="-22.967692707912523"/>
    <n v="-308.8793706330581"/>
    <n v="0"/>
    <n v="0"/>
    <n v="0"/>
    <n v="-308.8793706330581"/>
  </r>
  <r>
    <x v="8"/>
    <d v="2024-10-03T00:00:00"/>
    <d v="2024-10-24T00:00:00"/>
    <x v="6"/>
    <n v="9"/>
    <n v="146"/>
    <n v="8.3058817739101354"/>
    <n v="6.4847882839410547"/>
    <n v="946.779089455394"/>
    <n v="1212.6587389908798"/>
    <n v="-265.87964953548578"/>
    <n v="-21.358491307995084"/>
    <n v="-287.23814084348089"/>
    <n v="0"/>
    <n v="0"/>
    <n v="0"/>
    <n v="-287.23814084348089"/>
  </r>
  <r>
    <x v="9"/>
    <d v="2024-11-05T00:00:00"/>
    <d v="2024-11-25T00:00:00"/>
    <x v="6"/>
    <n v="9"/>
    <n v="116"/>
    <n v="8.3058817739101354"/>
    <n v="6.4847882839410547"/>
    <n v="752.23544093716237"/>
    <n v="963.48228577357565"/>
    <n v="-211.24684483641329"/>
    <n v="-16.969760217311162"/>
    <n v="-228.21660505372444"/>
    <n v="0"/>
    <n v="0"/>
    <n v="0"/>
    <n v="-228.21660505372444"/>
  </r>
  <r>
    <x v="10"/>
    <d v="2024-12-04T00:00:00"/>
    <d v="2024-12-24T00:00:00"/>
    <x v="6"/>
    <n v="9"/>
    <n v="62"/>
    <n v="8.3058817739101354"/>
    <n v="6.4847882839410547"/>
    <n v="402.05687360434541"/>
    <n v="514.9646699824284"/>
    <n v="-112.90779637808299"/>
    <n v="-9.0700442540801038"/>
    <n v="-121.97784063216309"/>
    <n v="0"/>
    <n v="0"/>
    <n v="0"/>
    <n v="-121.97784063216309"/>
  </r>
  <r>
    <x v="11"/>
    <d v="2025-01-03T00:00:00"/>
    <d v="2025-01-24T00:00:00"/>
    <x v="6"/>
    <n v="9"/>
    <n v="77"/>
    <n v="8.3058817739101354"/>
    <n v="6.4847882839410547"/>
    <n v="499.32869786346123"/>
    <n v="639.55289659108041"/>
    <n v="-140.22419872761918"/>
    <n v="-11.264409799422065"/>
    <n v="-151.48860852704124"/>
    <n v="0"/>
    <n v="0"/>
    <n v="0"/>
    <n v="-151.48860852704124"/>
  </r>
  <r>
    <x v="0"/>
    <d v="2024-02-05T00:00:00"/>
    <d v="2024-02-26T00:00:00"/>
    <x v="7"/>
    <n v="9"/>
    <n v="65"/>
    <n v="8.3058817739101354"/>
    <n v="6.4847882839410547"/>
    <n v="421.51123845616854"/>
    <n v="539.88231530415885"/>
    <n v="-118.37107684799031"/>
    <n v="-9.5089173631484982"/>
    <n v="-127.87999421113881"/>
    <n v="0"/>
    <n v="0"/>
    <n v="0"/>
    <n v="-127.87999421113881"/>
  </r>
  <r>
    <x v="1"/>
    <d v="2024-03-05T00:00:00"/>
    <d v="2024-03-25T00:00:00"/>
    <x v="7"/>
    <n v="9"/>
    <n v="65"/>
    <n v="8.3058817739101354"/>
    <n v="6.4847882839410547"/>
    <n v="421.51123845616854"/>
    <n v="539.88231530415885"/>
    <n v="-118.37107684799031"/>
    <n v="-9.5089173631484982"/>
    <n v="-127.87999421113881"/>
    <n v="0"/>
    <n v="0"/>
    <n v="0"/>
    <n v="-127.87999421113881"/>
  </r>
  <r>
    <x v="2"/>
    <d v="2024-04-03T00:00:00"/>
    <d v="2024-04-24T00:00:00"/>
    <x v="7"/>
    <n v="9"/>
    <n v="64"/>
    <n v="8.3058817739101354"/>
    <n v="6.4847882839410547"/>
    <n v="415.0264501722275"/>
    <n v="531.57643353024866"/>
    <n v="-116.54998335802117"/>
    <n v="-9.3626263267923662"/>
    <n v="-125.91260968481353"/>
    <n v="0"/>
    <n v="0"/>
    <n v="0"/>
    <n v="-125.91260968481353"/>
  </r>
  <r>
    <x v="3"/>
    <d v="2024-05-03T00:00:00"/>
    <d v="2024-05-24T00:00:00"/>
    <x v="7"/>
    <n v="9"/>
    <n v="65"/>
    <n v="8.3058817739101354"/>
    <n v="6.4847882839410547"/>
    <n v="421.51123845616854"/>
    <n v="539.88231530415885"/>
    <n v="-118.37107684799031"/>
    <n v="-9.5089173631484982"/>
    <n v="-127.87999421113881"/>
    <n v="0"/>
    <n v="0"/>
    <n v="0"/>
    <n v="-127.87999421113881"/>
  </r>
  <r>
    <x v="4"/>
    <d v="2024-06-05T00:00:00"/>
    <d v="2024-06-24T00:00:00"/>
    <x v="7"/>
    <n v="9"/>
    <n v="51"/>
    <n v="8.3058817739101354"/>
    <n v="6.4847882839410547"/>
    <n v="330.72420248099377"/>
    <n v="423.59997046941692"/>
    <n v="-92.875767988423149"/>
    <n v="-7.4608428541626663"/>
    <n v="-100.33661084258581"/>
    <n v="0"/>
    <n v="0"/>
    <n v="0"/>
    <n v="-100.33661084258581"/>
  </r>
  <r>
    <x v="5"/>
    <d v="2024-07-03T00:00:00"/>
    <d v="2024-07-24T00:00:00"/>
    <x v="7"/>
    <n v="9"/>
    <n v="59"/>
    <n v="8.3058817739101354"/>
    <n v="6.4847882839410547"/>
    <n v="382.60250875252223"/>
    <n v="490.04702466069801"/>
    <n v="-107.44451590817579"/>
    <n v="-8.631171145011713"/>
    <n v="-116.07568705318749"/>
    <n v="0"/>
    <n v="0"/>
    <n v="0"/>
    <n v="-116.07568705318749"/>
  </r>
  <r>
    <x v="6"/>
    <d v="2024-08-05T00:00:00"/>
    <d v="2024-08-26T00:00:00"/>
    <x v="7"/>
    <n v="9"/>
    <n v="67"/>
    <n v="8.3058817739101354"/>
    <n v="6.4847882839410547"/>
    <n v="434.48081502405068"/>
    <n v="556.49407885197911"/>
    <n v="-122.01326382792843"/>
    <n v="-9.8014994358607588"/>
    <n v="-131.81476326378919"/>
    <n v="0"/>
    <n v="0"/>
    <n v="0"/>
    <n v="-131.81476326378919"/>
  </r>
  <r>
    <x v="7"/>
    <d v="2024-09-04T00:00:00"/>
    <d v="2024-09-24T00:00:00"/>
    <x v="7"/>
    <n v="9"/>
    <n v="70"/>
    <n v="8.3058817739101354"/>
    <n v="6.4847882839410547"/>
    <n v="453.93517987587381"/>
    <n v="581.41172417370944"/>
    <n v="-127.47654429783563"/>
    <n v="-10.240372544929151"/>
    <n v="-137.71691684276479"/>
    <n v="0"/>
    <n v="0"/>
    <n v="0"/>
    <n v="-137.71691684276479"/>
  </r>
  <r>
    <x v="8"/>
    <d v="2024-10-03T00:00:00"/>
    <d v="2024-10-24T00:00:00"/>
    <x v="7"/>
    <n v="9"/>
    <n v="72"/>
    <n v="8.3058817739101354"/>
    <n v="6.4847882839410547"/>
    <n v="466.90475644375596"/>
    <n v="598.0234877215297"/>
    <n v="-131.11873127777375"/>
    <n v="-10.532954617641414"/>
    <n v="-141.65168589541517"/>
    <n v="0"/>
    <n v="0"/>
    <n v="0"/>
    <n v="-141.65168589541517"/>
  </r>
  <r>
    <x v="9"/>
    <d v="2024-11-05T00:00:00"/>
    <d v="2024-11-25T00:00:00"/>
    <x v="7"/>
    <n v="9"/>
    <n v="73"/>
    <n v="8.3058817739101354"/>
    <n v="6.4847882839410547"/>
    <n v="473.389544727697"/>
    <n v="606.32936949543989"/>
    <n v="-132.93982476774289"/>
    <n v="-10.679245653997542"/>
    <n v="-143.61907042174045"/>
    <n v="0"/>
    <n v="0"/>
    <n v="0"/>
    <n v="-143.61907042174045"/>
  </r>
  <r>
    <x v="10"/>
    <d v="2024-12-04T00:00:00"/>
    <d v="2024-12-24T00:00:00"/>
    <x v="7"/>
    <n v="9"/>
    <n v="72"/>
    <n v="8.3058817739101354"/>
    <n v="6.4847882839410547"/>
    <n v="466.90475644375596"/>
    <n v="598.0234877215297"/>
    <n v="-131.11873127777375"/>
    <n v="-10.532954617641414"/>
    <n v="-141.65168589541517"/>
    <n v="0"/>
    <n v="0"/>
    <n v="0"/>
    <n v="-141.65168589541517"/>
  </r>
  <r>
    <x v="11"/>
    <d v="2025-01-03T00:00:00"/>
    <d v="2025-01-24T00:00:00"/>
    <x v="7"/>
    <n v="9"/>
    <n v="65"/>
    <n v="8.3058817739101354"/>
    <n v="6.4847882839410547"/>
    <n v="421.51123845616854"/>
    <n v="539.88231530415885"/>
    <n v="-118.37107684799031"/>
    <n v="-9.5089173631484982"/>
    <n v="-127.87999421113881"/>
    <n v="0"/>
    <n v="0"/>
    <n v="0"/>
    <n v="-127.87999421113881"/>
  </r>
  <r>
    <x v="0"/>
    <d v="2024-02-05T00:00:00"/>
    <d v="2024-02-26T00:00:00"/>
    <x v="8"/>
    <n v="9"/>
    <n v="1452"/>
    <n v="8.3058817739101354"/>
    <n v="6.4847882839410547"/>
    <n v="9415.9125882824119"/>
    <n v="12060.140335717517"/>
    <n v="-2644.2277474351049"/>
    <n v="-212.41458478910181"/>
    <n v="-2856.6423322242067"/>
    <n v="0"/>
    <n v="0"/>
    <n v="0"/>
    <n v="-2856.6423322242067"/>
  </r>
  <r>
    <x v="1"/>
    <d v="2024-03-05T00:00:00"/>
    <d v="2024-03-25T00:00:00"/>
    <x v="8"/>
    <n v="9"/>
    <n v="966"/>
    <n v="8.3058817739101354"/>
    <n v="6.4847882839410547"/>
    <n v="6264.305482287059"/>
    <n v="8023.4817935971905"/>
    <n v="-1759.1763113101315"/>
    <n v="-141.31714112002228"/>
    <n v="-1900.4934524301539"/>
    <n v="0"/>
    <n v="0"/>
    <n v="0"/>
    <n v="-1900.4934524301539"/>
  </r>
  <r>
    <x v="2"/>
    <d v="2024-04-03T00:00:00"/>
    <d v="2024-04-24T00:00:00"/>
    <x v="8"/>
    <n v="9"/>
    <n v="732"/>
    <n v="8.3058817739101354"/>
    <n v="6.4847882839410547"/>
    <n v="4746.8650238448517"/>
    <n v="6079.9054585022195"/>
    <n v="-1333.0404346573678"/>
    <n v="-107.0850386126877"/>
    <n v="-1440.1254732700554"/>
    <n v="0"/>
    <n v="0"/>
    <n v="0"/>
    <n v="-1440.1254732700554"/>
  </r>
  <r>
    <x v="3"/>
    <d v="2024-05-03T00:00:00"/>
    <d v="2024-05-24T00:00:00"/>
    <x v="8"/>
    <n v="9"/>
    <n v="547"/>
    <n v="8.3058817739101354"/>
    <n v="6.4847882839410547"/>
    <n v="3547.1791913157567"/>
    <n v="4543.317330328844"/>
    <n v="-996.13813901308731"/>
    <n v="-80.021196886803509"/>
    <n v="-1076.1593358998907"/>
    <n v="0"/>
    <n v="0"/>
    <n v="0"/>
    <n v="-1076.1593358998907"/>
  </r>
  <r>
    <x v="4"/>
    <d v="2024-06-05T00:00:00"/>
    <d v="2024-06-24T00:00:00"/>
    <x v="8"/>
    <n v="9"/>
    <n v="747"/>
    <n v="8.3058817739101354"/>
    <n v="6.4847882839410547"/>
    <n v="4844.1368481039681"/>
    <n v="6204.4936851108714"/>
    <n v="-1360.3568370069033"/>
    <n v="-109.27940415802966"/>
    <n v="-1469.6362411649329"/>
    <n v="0"/>
    <n v="0"/>
    <n v="0"/>
    <n v="-1469.6362411649329"/>
  </r>
  <r>
    <x v="5"/>
    <d v="2024-07-03T00:00:00"/>
    <d v="2024-07-24T00:00:00"/>
    <x v="8"/>
    <n v="9"/>
    <n v="917"/>
    <n v="8.3058817739101354"/>
    <n v="6.4847882839410547"/>
    <n v="5946.5508563739468"/>
    <n v="7616.4935866755941"/>
    <n v="-1669.9427303016473"/>
    <n v="-134.14888033857187"/>
    <n v="-1804.0916106402192"/>
    <n v="0"/>
    <n v="0"/>
    <n v="0"/>
    <n v="-1804.0916106402192"/>
  </r>
  <r>
    <x v="6"/>
    <d v="2024-08-05T00:00:00"/>
    <d v="2024-08-26T00:00:00"/>
    <x v="8"/>
    <n v="9"/>
    <n v="950"/>
    <n v="8.3058817739101354"/>
    <n v="6.4847882839410547"/>
    <n v="6160.5488697440023"/>
    <n v="7890.5876852146284"/>
    <n v="-1730.0388154706261"/>
    <n v="-138.9764845383242"/>
    <n v="-1869.0153000089504"/>
    <n v="0"/>
    <n v="0"/>
    <n v="0"/>
    <n v="-1869.0153000089504"/>
  </r>
  <r>
    <x v="7"/>
    <d v="2024-09-04T00:00:00"/>
    <d v="2024-09-24T00:00:00"/>
    <x v="8"/>
    <n v="9"/>
    <n v="940"/>
    <n v="8.3058817739101354"/>
    <n v="6.4847882839410547"/>
    <n v="6095.7009869045914"/>
    <n v="7807.5288674755275"/>
    <n v="-1711.827880570936"/>
    <n v="-137.51357417476288"/>
    <n v="-1849.3414547456989"/>
    <n v="0"/>
    <n v="0"/>
    <n v="0"/>
    <n v="-1849.3414547456989"/>
  </r>
  <r>
    <x v="8"/>
    <d v="2024-10-03T00:00:00"/>
    <d v="2024-10-24T00:00:00"/>
    <x v="8"/>
    <n v="9"/>
    <n v="816"/>
    <n v="8.3058817739101354"/>
    <n v="6.4847882839410547"/>
    <n v="5291.5872396959003"/>
    <n v="6777.5995275106707"/>
    <n v="-1486.0122878147704"/>
    <n v="-119.37348566660266"/>
    <n v="-1605.385773481373"/>
    <n v="0"/>
    <n v="0"/>
    <n v="0"/>
    <n v="-1605.385773481373"/>
  </r>
  <r>
    <x v="9"/>
    <d v="2024-11-05T00:00:00"/>
    <d v="2024-11-25T00:00:00"/>
    <x v="8"/>
    <n v="9"/>
    <n v="683"/>
    <n v="8.3058817739101354"/>
    <n v="6.4847882839410547"/>
    <n v="4429.1103979317404"/>
    <n v="5672.9172515806222"/>
    <n v="-1243.8068536488818"/>
    <n v="-99.916777831237297"/>
    <n v="-1343.7236314801191"/>
    <n v="0"/>
    <n v="0"/>
    <n v="0"/>
    <n v="-1343.7236314801191"/>
  </r>
  <r>
    <x v="10"/>
    <d v="2024-12-04T00:00:00"/>
    <d v="2024-12-24T00:00:00"/>
    <x v="8"/>
    <n v="9"/>
    <n v="525"/>
    <n v="8.3058817739101354"/>
    <n v="6.4847882839410547"/>
    <n v="3404.5138490690538"/>
    <n v="4360.5879313028208"/>
    <n v="-956.07408223376706"/>
    <n v="-76.802794086968632"/>
    <n v="-1032.8768763207356"/>
    <n v="0"/>
    <n v="0"/>
    <n v="0"/>
    <n v="-1032.8768763207356"/>
  </r>
  <r>
    <x v="11"/>
    <d v="2025-01-03T00:00:00"/>
    <d v="2025-01-24T00:00:00"/>
    <x v="8"/>
    <n v="9"/>
    <n v="863"/>
    <n v="8.3058817739101354"/>
    <n v="6.4847882839410547"/>
    <n v="5596.37228904113"/>
    <n v="7167.9759708844467"/>
    <n v="-1571.6036818433167"/>
    <n v="-126.24916437534081"/>
    <n v="-1697.8528462186575"/>
    <n v="0"/>
    <n v="0"/>
    <n v="0"/>
    <n v="-1697.8528462186575"/>
  </r>
  <r>
    <x v="0"/>
    <d v="2024-02-05T00:00:00"/>
    <d v="2024-02-26T00:00:00"/>
    <x v="9"/>
    <n v="9"/>
    <n v="8"/>
    <n v="8.3058817739101354"/>
    <n v="6.4847882839410547"/>
    <n v="51.878306271528437"/>
    <n v="66.447054191281083"/>
    <n v="-14.568747919752646"/>
    <n v="-1.1703282908490458"/>
    <n v="-15.739076210601691"/>
    <n v="0"/>
    <n v="0"/>
    <n v="0"/>
    <n v="-15.739076210601691"/>
  </r>
  <r>
    <x v="1"/>
    <d v="2024-03-05T00:00:00"/>
    <d v="2024-03-25T00:00:00"/>
    <x v="9"/>
    <n v="9"/>
    <n v="5"/>
    <n v="8.3058817739101354"/>
    <n v="6.4847882839410547"/>
    <n v="32.423941419705272"/>
    <n v="41.529408869550679"/>
    <n v="-9.1054674498454062"/>
    <n v="-0.73145518178065372"/>
    <n v="-9.8369226316260594"/>
    <n v="0"/>
    <n v="0"/>
    <n v="0"/>
    <n v="-9.8369226316260594"/>
  </r>
  <r>
    <x v="2"/>
    <d v="2024-04-03T00:00:00"/>
    <d v="2024-04-24T00:00:00"/>
    <x v="9"/>
    <n v="9"/>
    <n v="5"/>
    <n v="8.3058817739101354"/>
    <n v="6.4847882839410547"/>
    <n v="32.423941419705272"/>
    <n v="41.529408869550679"/>
    <n v="-9.1054674498454062"/>
    <n v="-0.73145518178065372"/>
    <n v="-9.8369226316260594"/>
    <n v="0"/>
    <n v="0"/>
    <n v="0"/>
    <n v="-9.8369226316260594"/>
  </r>
  <r>
    <x v="3"/>
    <d v="2024-05-03T00:00:00"/>
    <d v="2024-05-24T00:00:00"/>
    <x v="9"/>
    <n v="9"/>
    <n v="6"/>
    <n v="8.3058817739101354"/>
    <n v="6.4847882839410547"/>
    <n v="38.90872970364633"/>
    <n v="49.835290643460809"/>
    <n v="-10.926560939814479"/>
    <n v="-0.87774621813678433"/>
    <n v="-11.804307157951264"/>
    <n v="0"/>
    <n v="0"/>
    <n v="0"/>
    <n v="-11.804307157951264"/>
  </r>
  <r>
    <x v="4"/>
    <d v="2024-06-05T00:00:00"/>
    <d v="2024-06-24T00:00:00"/>
    <x v="9"/>
    <n v="9"/>
    <n v="9"/>
    <n v="8.3058817739101354"/>
    <n v="6.4847882839410547"/>
    <n v="58.363094555469495"/>
    <n v="74.752935965191213"/>
    <n v="-16.389841409721718"/>
    <n v="-1.3166193272051767"/>
    <n v="-17.706460736926896"/>
    <n v="0"/>
    <n v="0"/>
    <n v="0"/>
    <n v="-17.706460736926896"/>
  </r>
  <r>
    <x v="5"/>
    <d v="2024-07-03T00:00:00"/>
    <d v="2024-07-24T00:00:00"/>
    <x v="9"/>
    <n v="9"/>
    <n v="14"/>
    <n v="8.3058817739101354"/>
    <n v="6.4847882839410547"/>
    <n v="90.78703597517476"/>
    <n v="116.28234483474189"/>
    <n v="-25.495308859567132"/>
    <n v="-2.0480745089858301"/>
    <n v="-27.543383368552963"/>
    <n v="0"/>
    <n v="0"/>
    <n v="0"/>
    <n v="-27.543383368552963"/>
  </r>
  <r>
    <x v="6"/>
    <d v="2024-08-05T00:00:00"/>
    <d v="2024-08-26T00:00:00"/>
    <x v="9"/>
    <n v="9"/>
    <n v="17"/>
    <n v="8.3058817739101354"/>
    <n v="6.4847882839410547"/>
    <n v="110.24140082699793"/>
    <n v="141.1999901564723"/>
    <n v="-30.958589329474364"/>
    <n v="-2.4869476180542227"/>
    <n v="-33.445536947528588"/>
    <n v="0"/>
    <n v="0"/>
    <n v="0"/>
    <n v="-33.445536947528588"/>
  </r>
  <r>
    <x v="7"/>
    <d v="2024-09-04T00:00:00"/>
    <d v="2024-09-24T00:00:00"/>
    <x v="9"/>
    <n v="9"/>
    <n v="19"/>
    <n v="8.3058817739101354"/>
    <n v="6.4847882839410547"/>
    <n v="123.21097739488003"/>
    <n v="157.81175370429258"/>
    <n v="-34.600776309412552"/>
    <n v="-2.7795296907664842"/>
    <n v="-37.380306000179033"/>
    <n v="0"/>
    <n v="0"/>
    <n v="0"/>
    <n v="-37.380306000179033"/>
  </r>
  <r>
    <x v="8"/>
    <d v="2024-10-03T00:00:00"/>
    <d v="2024-10-24T00:00:00"/>
    <x v="9"/>
    <n v="9"/>
    <n v="11"/>
    <n v="8.3058817739101354"/>
    <n v="6.4847882839410547"/>
    <n v="71.332671123351602"/>
    <n v="91.364699513011487"/>
    <n v="-20.032028389659885"/>
    <n v="-1.6092013999174379"/>
    <n v="-21.641229789577324"/>
    <n v="0"/>
    <n v="0"/>
    <n v="0"/>
    <n v="-21.641229789577324"/>
  </r>
  <r>
    <x v="9"/>
    <d v="2024-11-05T00:00:00"/>
    <d v="2024-11-25T00:00:00"/>
    <x v="9"/>
    <n v="9"/>
    <n v="6"/>
    <n v="8.3058817739101354"/>
    <n v="6.4847882839410547"/>
    <n v="38.90872970364633"/>
    <n v="49.835290643460809"/>
    <n v="-10.926560939814479"/>
    <n v="-0.87774621813678433"/>
    <n v="-11.804307157951264"/>
    <n v="0"/>
    <n v="0"/>
    <n v="0"/>
    <n v="-11.804307157951264"/>
  </r>
  <r>
    <x v="10"/>
    <d v="2024-12-04T00:00:00"/>
    <d v="2024-12-24T00:00:00"/>
    <x v="9"/>
    <n v="9"/>
    <n v="6"/>
    <n v="8.3058817739101354"/>
    <n v="6.4847882839410547"/>
    <n v="38.90872970364633"/>
    <n v="49.835290643460809"/>
    <n v="-10.926560939814479"/>
    <n v="-0.87774621813678433"/>
    <n v="-11.804307157951264"/>
    <n v="0"/>
    <n v="0"/>
    <n v="0"/>
    <n v="-11.804307157951264"/>
  </r>
  <r>
    <x v="11"/>
    <d v="2025-01-03T00:00:00"/>
    <d v="2025-01-24T00:00:00"/>
    <x v="9"/>
    <n v="9"/>
    <n v="6"/>
    <n v="8.3058817739101354"/>
    <n v="6.4847882839410547"/>
    <n v="38.90872970364633"/>
    <n v="49.835290643460809"/>
    <n v="-10.926560939814479"/>
    <n v="-0.87774621813678433"/>
    <n v="-11.804307157951264"/>
    <n v="0"/>
    <n v="0"/>
    <n v="0"/>
    <n v="-11.804307157951264"/>
  </r>
  <r>
    <x v="0"/>
    <d v="2024-02-05T00:00:00"/>
    <d v="2024-02-26T00:00:00"/>
    <x v="10"/>
    <n v="9"/>
    <n v="4"/>
    <n v="8.3058817739101354"/>
    <n v="6.4847882839410547"/>
    <n v="25.939153135764219"/>
    <n v="33.223527095640542"/>
    <n v="-7.2843739598763229"/>
    <n v="-0.58516414542452289"/>
    <n v="-7.8695381053008457"/>
    <n v="0"/>
    <n v="0"/>
    <n v="0"/>
    <n v="-7.8695381053008457"/>
  </r>
  <r>
    <x v="1"/>
    <d v="2024-03-05T00:00:00"/>
    <d v="2024-03-25T00:00:00"/>
    <x v="10"/>
    <n v="9"/>
    <n v="3"/>
    <n v="8.3058817739101354"/>
    <n v="6.4847882839410547"/>
    <n v="19.454364851823165"/>
    <n v="24.917645321730404"/>
    <n v="-5.4632804699072395"/>
    <n v="-0.43887310906839216"/>
    <n v="-5.9021535789756321"/>
    <n v="0"/>
    <n v="0"/>
    <n v="0"/>
    <n v="-5.9021535789756321"/>
  </r>
  <r>
    <x v="2"/>
    <d v="2024-04-03T00:00:00"/>
    <d v="2024-04-24T00:00:00"/>
    <x v="10"/>
    <n v="9"/>
    <n v="3"/>
    <n v="8.3058817739101354"/>
    <n v="6.4847882839410547"/>
    <n v="19.454364851823165"/>
    <n v="24.917645321730404"/>
    <n v="-5.4632804699072395"/>
    <n v="-0.43887310906839216"/>
    <n v="-5.9021535789756321"/>
    <n v="0"/>
    <n v="0"/>
    <n v="0"/>
    <n v="-5.9021535789756321"/>
  </r>
  <r>
    <x v="3"/>
    <d v="2024-05-03T00:00:00"/>
    <d v="2024-05-24T00:00:00"/>
    <x v="10"/>
    <n v="9"/>
    <n v="2"/>
    <n v="8.3058817739101354"/>
    <n v="6.4847882839410547"/>
    <n v="12.969576567882109"/>
    <n v="16.611763547820271"/>
    <n v="-3.6421869799381614"/>
    <n v="-0.29258207271226144"/>
    <n v="-3.9347690526504229"/>
    <n v="0"/>
    <n v="0"/>
    <n v="0"/>
    <n v="-3.9347690526504229"/>
  </r>
  <r>
    <x v="4"/>
    <d v="2024-06-05T00:00:00"/>
    <d v="2024-06-24T00:00:00"/>
    <x v="10"/>
    <n v="9"/>
    <n v="4"/>
    <n v="8.3058817739101354"/>
    <n v="6.4847882839410547"/>
    <n v="25.939153135764219"/>
    <n v="33.223527095640542"/>
    <n v="-7.2843739598763229"/>
    <n v="-0.58516414542452289"/>
    <n v="-7.8695381053008457"/>
    <n v="0"/>
    <n v="0"/>
    <n v="0"/>
    <n v="-7.8695381053008457"/>
  </r>
  <r>
    <x v="5"/>
    <d v="2024-07-03T00:00:00"/>
    <d v="2024-07-24T00:00:00"/>
    <x v="10"/>
    <n v="9"/>
    <n v="4"/>
    <n v="8.3058817739101354"/>
    <n v="6.4847882839410547"/>
    <n v="25.939153135764219"/>
    <n v="33.223527095640542"/>
    <n v="-7.2843739598763229"/>
    <n v="-0.58516414542452289"/>
    <n v="-7.8695381053008457"/>
    <n v="0"/>
    <n v="0"/>
    <n v="0"/>
    <n v="-7.8695381053008457"/>
  </r>
  <r>
    <x v="6"/>
    <d v="2024-08-05T00:00:00"/>
    <d v="2024-08-26T00:00:00"/>
    <x v="10"/>
    <n v="9"/>
    <n v="6"/>
    <n v="8.3058817739101354"/>
    <n v="6.4847882839410547"/>
    <n v="38.90872970364633"/>
    <n v="49.835290643460809"/>
    <n v="-10.926560939814479"/>
    <n v="-0.87774621813678433"/>
    <n v="-11.804307157951264"/>
    <n v="0"/>
    <n v="0"/>
    <n v="0"/>
    <n v="-11.804307157951264"/>
  </r>
  <r>
    <x v="7"/>
    <d v="2024-09-04T00:00:00"/>
    <d v="2024-09-24T00:00:00"/>
    <x v="10"/>
    <n v="9"/>
    <n v="6"/>
    <n v="8.3058817739101354"/>
    <n v="6.4847882839410547"/>
    <n v="38.90872970364633"/>
    <n v="49.835290643460809"/>
    <n v="-10.926560939814479"/>
    <n v="-0.87774621813678433"/>
    <n v="-11.804307157951264"/>
    <n v="0"/>
    <n v="0"/>
    <n v="0"/>
    <n v="-11.804307157951264"/>
  </r>
  <r>
    <x v="8"/>
    <d v="2024-10-03T00:00:00"/>
    <d v="2024-10-24T00:00:00"/>
    <x v="10"/>
    <n v="9"/>
    <n v="3"/>
    <n v="8.3058817739101354"/>
    <n v="6.4847882839410547"/>
    <n v="19.454364851823165"/>
    <n v="24.917645321730404"/>
    <n v="-5.4632804699072395"/>
    <n v="-0.43887310906839216"/>
    <n v="-5.9021535789756321"/>
    <n v="0"/>
    <n v="0"/>
    <n v="0"/>
    <n v="-5.9021535789756321"/>
  </r>
  <r>
    <x v="9"/>
    <d v="2024-11-05T00:00:00"/>
    <d v="2024-11-25T00:00:00"/>
    <x v="10"/>
    <n v="9"/>
    <n v="6"/>
    <n v="8.3058817739101354"/>
    <n v="6.4847882839410547"/>
    <n v="38.90872970364633"/>
    <n v="49.835290643460809"/>
    <n v="-10.926560939814479"/>
    <n v="-0.87774621813678433"/>
    <n v="-11.804307157951264"/>
    <n v="0"/>
    <n v="0"/>
    <n v="0"/>
    <n v="-11.804307157951264"/>
  </r>
  <r>
    <x v="10"/>
    <d v="2024-12-04T00:00:00"/>
    <d v="2024-12-24T00:00:00"/>
    <x v="10"/>
    <n v="9"/>
    <n v="1"/>
    <n v="8.3058817739101354"/>
    <n v="6.4847882839410547"/>
    <n v="6.4847882839410547"/>
    <n v="8.3058817739101354"/>
    <n v="-1.8210934899690807"/>
    <n v="-0.14629103635613072"/>
    <n v="-1.9673845263252114"/>
    <n v="0"/>
    <n v="0"/>
    <n v="0"/>
    <n v="-1.9673845263252114"/>
  </r>
  <r>
    <x v="11"/>
    <d v="2025-01-03T00:00:00"/>
    <d v="2025-01-24T00:00:00"/>
    <x v="10"/>
    <n v="9"/>
    <n v="3"/>
    <n v="8.3058817739101354"/>
    <n v="6.4847882839410547"/>
    <n v="19.454364851823165"/>
    <n v="24.917645321730404"/>
    <n v="-5.4632804699072395"/>
    <n v="-0.43887310906839216"/>
    <n v="-5.9021535789756321"/>
    <n v="0"/>
    <n v="0"/>
    <n v="0"/>
    <n v="-5.9021535789756321"/>
  </r>
  <r>
    <x v="0"/>
    <d v="2024-02-05T00:00:00"/>
    <d v="2024-02-26T00:00:00"/>
    <x v="11"/>
    <n v="9"/>
    <n v="145"/>
    <n v="8.3058817739101354"/>
    <n v="6.4847882839410547"/>
    <n v="940.29430117145296"/>
    <n v="1204.3528572169696"/>
    <n v="-264.05855604551664"/>
    <n v="-21.212200271638956"/>
    <n v="-285.27075631715559"/>
    <n v="0"/>
    <n v="0"/>
    <n v="0"/>
    <n v="-285.27075631715559"/>
  </r>
  <r>
    <x v="1"/>
    <d v="2024-03-05T00:00:00"/>
    <d v="2024-03-25T00:00:00"/>
    <x v="11"/>
    <n v="9"/>
    <n v="100"/>
    <n v="8.3058817739101354"/>
    <n v="6.4847882839410547"/>
    <n v="648.47882839410545"/>
    <n v="830.58817739101357"/>
    <n v="-182.10934899690812"/>
    <n v="-14.629103635613074"/>
    <n v="-196.73845263252119"/>
    <n v="0"/>
    <n v="0"/>
    <n v="0"/>
    <n v="-196.73845263252119"/>
  </r>
  <r>
    <x v="2"/>
    <d v="2024-04-03T00:00:00"/>
    <d v="2024-04-24T00:00:00"/>
    <x v="11"/>
    <n v="9"/>
    <n v="92"/>
    <n v="8.3058817739101354"/>
    <n v="6.4847882839410547"/>
    <n v="596.60052212257699"/>
    <n v="764.14112319973242"/>
    <n v="-167.54060107715543"/>
    <n v="-13.458775344764026"/>
    <n v="-180.99937642191946"/>
    <n v="0"/>
    <n v="0"/>
    <n v="0"/>
    <n v="-180.99937642191946"/>
  </r>
  <r>
    <x v="3"/>
    <d v="2024-05-03T00:00:00"/>
    <d v="2024-05-24T00:00:00"/>
    <x v="11"/>
    <n v="9"/>
    <n v="101"/>
    <n v="8.3058817739101354"/>
    <n v="6.4847882839410547"/>
    <n v="654.96361667804649"/>
    <n v="838.89405916492365"/>
    <n v="-183.93044248687715"/>
    <n v="-14.775394671969204"/>
    <n v="-198.70583715884635"/>
    <n v="0"/>
    <n v="0"/>
    <n v="0"/>
    <n v="-198.70583715884635"/>
  </r>
  <r>
    <x v="4"/>
    <d v="2024-06-05T00:00:00"/>
    <d v="2024-06-24T00:00:00"/>
    <x v="11"/>
    <n v="9"/>
    <n v="118"/>
    <n v="8.3058817739101354"/>
    <n v="6.4847882839410547"/>
    <n v="765.20501750504445"/>
    <n v="980.09404932139603"/>
    <n v="-214.88903181635158"/>
    <n v="-17.262342290023426"/>
    <n v="-232.15137410637499"/>
    <n v="0"/>
    <n v="0"/>
    <n v="0"/>
    <n v="-232.15137410637499"/>
  </r>
  <r>
    <x v="5"/>
    <d v="2024-07-03T00:00:00"/>
    <d v="2024-07-24T00:00:00"/>
    <x v="11"/>
    <n v="9"/>
    <n v="173"/>
    <n v="8.3058817739101354"/>
    <n v="6.4847882839410547"/>
    <n v="1121.8683731218025"/>
    <n v="1436.9175468864535"/>
    <n v="-315.04917376465096"/>
    <n v="-25.308349289610614"/>
    <n v="-340.35752305426155"/>
    <n v="0"/>
    <n v="0"/>
    <n v="0"/>
    <n v="-340.35752305426155"/>
  </r>
  <r>
    <x v="6"/>
    <d v="2024-08-05T00:00:00"/>
    <d v="2024-08-26T00:00:00"/>
    <x v="11"/>
    <n v="9"/>
    <n v="164"/>
    <n v="8.3058817739101354"/>
    <n v="6.4847882839410547"/>
    <n v="1063.5052785663329"/>
    <n v="1362.1646109212622"/>
    <n v="-298.65933235492935"/>
    <n v="-23.99172996240544"/>
    <n v="-322.65106231733478"/>
    <n v="0"/>
    <n v="0"/>
    <n v="0"/>
    <n v="-322.65106231733478"/>
  </r>
  <r>
    <x v="7"/>
    <d v="2024-09-04T00:00:00"/>
    <d v="2024-09-24T00:00:00"/>
    <x v="11"/>
    <n v="9"/>
    <n v="170"/>
    <n v="8.3058817739101354"/>
    <n v="6.4847882839410547"/>
    <n v="1102.4140082699794"/>
    <n v="1411.9999015647229"/>
    <n v="-309.58589329474353"/>
    <n v="-24.869476180542225"/>
    <n v="-334.45536947528575"/>
    <n v="0"/>
    <n v="0"/>
    <n v="0"/>
    <n v="-334.45536947528575"/>
  </r>
  <r>
    <x v="8"/>
    <d v="2024-10-03T00:00:00"/>
    <d v="2024-10-24T00:00:00"/>
    <x v="11"/>
    <n v="9"/>
    <n v="156"/>
    <n v="8.3058817739101354"/>
    <n v="6.4847882839410547"/>
    <n v="1011.6269722948045"/>
    <n v="1295.7175567299812"/>
    <n v="-284.09058443517665"/>
    <n v="-22.821401671556394"/>
    <n v="-306.91198610673302"/>
    <n v="0"/>
    <n v="0"/>
    <n v="0"/>
    <n v="-306.91198610673302"/>
  </r>
  <r>
    <x v="9"/>
    <d v="2024-11-05T00:00:00"/>
    <d v="2024-11-25T00:00:00"/>
    <x v="11"/>
    <n v="9"/>
    <n v="139"/>
    <n v="8.3058817739101354"/>
    <n v="6.4847882839410547"/>
    <n v="901.38557146780659"/>
    <n v="1154.5175665735089"/>
    <n v="-253.13199510570234"/>
    <n v="-20.334454053502171"/>
    <n v="-273.4664491592045"/>
    <n v="0"/>
    <n v="0"/>
    <n v="0"/>
    <n v="-273.4664491592045"/>
  </r>
  <r>
    <x v="10"/>
    <d v="2024-12-04T00:00:00"/>
    <d v="2024-12-24T00:00:00"/>
    <x v="11"/>
    <n v="9"/>
    <n v="90"/>
    <n v="8.3058817739101354"/>
    <n v="6.4847882839410547"/>
    <n v="583.6309455546949"/>
    <n v="747.52935965191216"/>
    <n v="-163.89841409721726"/>
    <n v="-13.166193272051766"/>
    <n v="-177.06460736926903"/>
    <n v="0"/>
    <n v="0"/>
    <n v="0"/>
    <n v="-177.06460736926903"/>
  </r>
  <r>
    <x v="11"/>
    <d v="2025-01-03T00:00:00"/>
    <d v="2025-01-24T00:00:00"/>
    <x v="11"/>
    <n v="9"/>
    <n v="110"/>
    <n v="8.3058817739101354"/>
    <n v="6.4847882839410547"/>
    <n v="713.32671123351599"/>
    <n v="913.64699513011487"/>
    <n v="-200.32028389659888"/>
    <n v="-16.09201399917438"/>
    <n v="-216.41229789577326"/>
    <n v="0"/>
    <n v="0"/>
    <n v="0"/>
    <n v="-216.41229789577326"/>
  </r>
  <r>
    <x v="0"/>
    <d v="2024-02-05T00:00:00"/>
    <d v="2024-02-26T00:00:00"/>
    <x v="12"/>
    <n v="9"/>
    <n v="9"/>
    <n v="8.3058817739101354"/>
    <n v="6.4847882839410547"/>
    <n v="58.363094555469495"/>
    <n v="74.752935965191213"/>
    <n v="-16.389841409721718"/>
    <n v="-1.3166193272051767"/>
    <n v="-17.706460736926896"/>
    <n v="0"/>
    <n v="0"/>
    <n v="0"/>
    <n v="-17.706460736926896"/>
  </r>
  <r>
    <x v="1"/>
    <d v="2024-03-05T00:00:00"/>
    <d v="2024-03-25T00:00:00"/>
    <x v="12"/>
    <n v="9"/>
    <n v="8"/>
    <n v="8.3058817739101354"/>
    <n v="6.4847882839410547"/>
    <n v="51.878306271528437"/>
    <n v="66.447054191281083"/>
    <n v="-14.568747919752646"/>
    <n v="-1.1703282908490458"/>
    <n v="-15.739076210601691"/>
    <n v="0"/>
    <n v="0"/>
    <n v="0"/>
    <n v="-15.739076210601691"/>
  </r>
  <r>
    <x v="2"/>
    <d v="2024-04-03T00:00:00"/>
    <d v="2024-04-24T00:00:00"/>
    <x v="12"/>
    <n v="9"/>
    <n v="10"/>
    <n v="8.3058817739101354"/>
    <n v="6.4847882839410547"/>
    <n v="64.847882839410545"/>
    <n v="83.058817739101357"/>
    <n v="-18.210934899690812"/>
    <n v="-1.4629103635613074"/>
    <n v="-19.673845263252119"/>
    <n v="0"/>
    <n v="0"/>
    <n v="0"/>
    <n v="-19.673845263252119"/>
  </r>
  <r>
    <x v="3"/>
    <d v="2024-05-03T00:00:00"/>
    <d v="2024-05-24T00:00:00"/>
    <x v="12"/>
    <n v="9"/>
    <n v="7"/>
    <n v="8.3058817739101354"/>
    <n v="6.4847882839410547"/>
    <n v="45.39351798758738"/>
    <n v="58.141172417370946"/>
    <n v="-12.747654429783566"/>
    <n v="-1.0240372544929151"/>
    <n v="-13.771691684276481"/>
    <n v="0"/>
    <n v="0"/>
    <n v="0"/>
    <n v="-13.771691684276481"/>
  </r>
  <r>
    <x v="4"/>
    <d v="2024-06-05T00:00:00"/>
    <d v="2024-06-24T00:00:00"/>
    <x v="12"/>
    <n v="9"/>
    <n v="10"/>
    <n v="8.3058817739101354"/>
    <n v="6.4847882839410547"/>
    <n v="64.847882839410545"/>
    <n v="83.058817739101357"/>
    <n v="-18.210934899690812"/>
    <n v="-1.4629103635613074"/>
    <n v="-19.673845263252119"/>
    <n v="0"/>
    <n v="0"/>
    <n v="0"/>
    <n v="-19.673845263252119"/>
  </r>
  <r>
    <x v="5"/>
    <d v="2024-07-03T00:00:00"/>
    <d v="2024-07-24T00:00:00"/>
    <x v="12"/>
    <n v="9"/>
    <n v="10"/>
    <n v="8.3058817739101354"/>
    <n v="6.4847882839410547"/>
    <n v="64.847882839410545"/>
    <n v="83.058817739101357"/>
    <n v="-18.210934899690812"/>
    <n v="-1.4629103635613074"/>
    <n v="-19.673845263252119"/>
    <n v="0"/>
    <n v="0"/>
    <n v="0"/>
    <n v="-19.673845263252119"/>
  </r>
  <r>
    <x v="6"/>
    <d v="2024-08-05T00:00:00"/>
    <d v="2024-08-26T00:00:00"/>
    <x v="12"/>
    <n v="9"/>
    <n v="12"/>
    <n v="8.3058817739101354"/>
    <n v="6.4847882839410547"/>
    <n v="77.81745940729266"/>
    <n v="99.670581286921617"/>
    <n v="-21.853121879628958"/>
    <n v="-1.7554924362735687"/>
    <n v="-23.608614315902528"/>
    <n v="0"/>
    <n v="0"/>
    <n v="0"/>
    <n v="-23.608614315902528"/>
  </r>
  <r>
    <x v="7"/>
    <d v="2024-09-04T00:00:00"/>
    <d v="2024-09-24T00:00:00"/>
    <x v="12"/>
    <n v="9"/>
    <n v="12"/>
    <n v="8.3058817739101354"/>
    <n v="6.4847882839410547"/>
    <n v="77.81745940729266"/>
    <n v="99.670581286921617"/>
    <n v="-21.853121879628958"/>
    <n v="-1.7554924362735687"/>
    <n v="-23.608614315902528"/>
    <n v="0"/>
    <n v="0"/>
    <n v="0"/>
    <n v="-23.608614315902528"/>
  </r>
  <r>
    <x v="8"/>
    <d v="2024-10-03T00:00:00"/>
    <d v="2024-10-24T00:00:00"/>
    <x v="12"/>
    <n v="9"/>
    <n v="11"/>
    <n v="8.3058817739101354"/>
    <n v="6.4847882839410547"/>
    <n v="71.332671123351602"/>
    <n v="91.364699513011487"/>
    <n v="-20.032028389659885"/>
    <n v="-1.6092013999174379"/>
    <n v="-21.641229789577324"/>
    <n v="0"/>
    <n v="0"/>
    <n v="0"/>
    <n v="-21.641229789577324"/>
  </r>
  <r>
    <x v="9"/>
    <d v="2024-11-05T00:00:00"/>
    <d v="2024-11-25T00:00:00"/>
    <x v="12"/>
    <n v="9"/>
    <n v="10"/>
    <n v="8.3058817739101354"/>
    <n v="6.4847882839410547"/>
    <n v="64.847882839410545"/>
    <n v="83.058817739101357"/>
    <n v="-18.210934899690812"/>
    <n v="-1.4629103635613074"/>
    <n v="-19.673845263252119"/>
    <n v="0"/>
    <n v="0"/>
    <n v="0"/>
    <n v="-19.673845263252119"/>
  </r>
  <r>
    <x v="10"/>
    <d v="2024-12-04T00:00:00"/>
    <d v="2024-12-24T00:00:00"/>
    <x v="12"/>
    <n v="9"/>
    <n v="10"/>
    <n v="8.3058817739101354"/>
    <n v="6.4847882839410547"/>
    <n v="64.847882839410545"/>
    <n v="83.058817739101357"/>
    <n v="-18.210934899690812"/>
    <n v="-1.4629103635613074"/>
    <n v="-19.673845263252119"/>
    <n v="0"/>
    <n v="0"/>
    <n v="0"/>
    <n v="-19.673845263252119"/>
  </r>
  <r>
    <x v="11"/>
    <d v="2025-01-03T00:00:00"/>
    <d v="2025-01-24T00:00:00"/>
    <x v="12"/>
    <n v="9"/>
    <n v="10"/>
    <n v="8.3058817739101354"/>
    <n v="6.4847882839410547"/>
    <n v="64.847882839410545"/>
    <n v="83.058817739101357"/>
    <n v="-18.210934899690812"/>
    <n v="-1.4629103635613074"/>
    <n v="-19.673845263252119"/>
    <n v="0"/>
    <n v="0"/>
    <n v="0"/>
    <n v="-19.673845263252119"/>
  </r>
  <r>
    <x v="0"/>
    <d v="2024-02-05T00:00:00"/>
    <d v="2024-02-26T00:00:00"/>
    <x v="13"/>
    <n v="9"/>
    <n v="26"/>
    <n v="8.3058817739101354"/>
    <n v="6.4847882839410547"/>
    <n v="168.60449538246743"/>
    <n v="215.95292612166352"/>
    <n v="-47.34843073919609"/>
    <n v="-3.8035669452593988"/>
    <n v="-51.151997684455488"/>
    <n v="0"/>
    <n v="0"/>
    <n v="0"/>
    <n v="-51.151997684455488"/>
  </r>
  <r>
    <x v="1"/>
    <d v="2024-03-05T00:00:00"/>
    <d v="2024-03-25T00:00:00"/>
    <x v="13"/>
    <n v="9"/>
    <n v="19"/>
    <n v="8.3058817739101354"/>
    <n v="6.4847882839410547"/>
    <n v="123.21097739488003"/>
    <n v="157.81175370429258"/>
    <n v="-34.600776309412552"/>
    <n v="-2.7795296907664842"/>
    <n v="-37.380306000179033"/>
    <n v="0"/>
    <n v="0"/>
    <n v="0"/>
    <n v="-37.380306000179033"/>
  </r>
  <r>
    <x v="2"/>
    <d v="2024-04-03T00:00:00"/>
    <d v="2024-04-24T00:00:00"/>
    <x v="13"/>
    <n v="9"/>
    <n v="18"/>
    <n v="8.3058817739101354"/>
    <n v="6.4847882839410547"/>
    <n v="116.72618911093899"/>
    <n v="149.50587193038243"/>
    <n v="-32.779682819443437"/>
    <n v="-2.6332386544103534"/>
    <n v="-35.412921473853793"/>
    <n v="0"/>
    <n v="0"/>
    <n v="0"/>
    <n v="-35.412921473853793"/>
  </r>
  <r>
    <x v="3"/>
    <d v="2024-05-03T00:00:00"/>
    <d v="2024-05-24T00:00:00"/>
    <x v="13"/>
    <n v="9"/>
    <n v="22"/>
    <n v="8.3058817739101354"/>
    <n v="6.4847882839410547"/>
    <n v="142.6653422467032"/>
    <n v="182.72939902602297"/>
    <n v="-40.06405677931977"/>
    <n v="-3.2184027998348759"/>
    <n v="-43.282459579154647"/>
    <n v="0"/>
    <n v="0"/>
    <n v="0"/>
    <n v="-43.282459579154647"/>
  </r>
  <r>
    <x v="4"/>
    <d v="2024-06-05T00:00:00"/>
    <d v="2024-06-24T00:00:00"/>
    <x v="13"/>
    <n v="9"/>
    <n v="31"/>
    <n v="8.3058817739101354"/>
    <n v="6.4847882839410547"/>
    <n v="201.02843680217271"/>
    <n v="257.4823349912142"/>
    <n v="-56.453898189041496"/>
    <n v="-4.5350221270400519"/>
    <n v="-60.988920316081547"/>
    <n v="0"/>
    <n v="0"/>
    <n v="0"/>
    <n v="-60.988920316081547"/>
  </r>
  <r>
    <x v="5"/>
    <d v="2024-07-03T00:00:00"/>
    <d v="2024-07-24T00:00:00"/>
    <x v="13"/>
    <n v="9"/>
    <n v="36"/>
    <n v="8.3058817739101354"/>
    <n v="6.4847882839410547"/>
    <n v="233.45237822187798"/>
    <n v="299.01174386076485"/>
    <n v="-65.559365638886874"/>
    <n v="-5.2664773088207069"/>
    <n v="-70.825842947707585"/>
    <n v="0"/>
    <n v="0"/>
    <n v="0"/>
    <n v="-70.825842947707585"/>
  </r>
  <r>
    <x v="6"/>
    <d v="2024-08-05T00:00:00"/>
    <d v="2024-08-26T00:00:00"/>
    <x v="13"/>
    <n v="9"/>
    <n v="38"/>
    <n v="8.3058817739101354"/>
    <n v="6.4847882839410547"/>
    <n v="246.42195478976006"/>
    <n v="315.62350740858517"/>
    <n v="-69.201552618825104"/>
    <n v="-5.5590593815329683"/>
    <n v="-74.760612000358066"/>
    <n v="0"/>
    <n v="0"/>
    <n v="0"/>
    <n v="-74.760612000358066"/>
  </r>
  <r>
    <x v="7"/>
    <d v="2024-09-04T00:00:00"/>
    <d v="2024-09-24T00:00:00"/>
    <x v="13"/>
    <n v="9"/>
    <n v="41"/>
    <n v="8.3058817739101354"/>
    <n v="6.4847882839410547"/>
    <n v="265.87631964158322"/>
    <n v="340.54115273031556"/>
    <n v="-74.664833088732337"/>
    <n v="-5.99793249060136"/>
    <n v="-80.662765579333694"/>
    <n v="0"/>
    <n v="0"/>
    <n v="0"/>
    <n v="-80.662765579333694"/>
  </r>
  <r>
    <x v="8"/>
    <d v="2024-10-03T00:00:00"/>
    <d v="2024-10-24T00:00:00"/>
    <x v="13"/>
    <n v="9"/>
    <n v="29"/>
    <n v="8.3058817739101354"/>
    <n v="6.4847882839410547"/>
    <n v="188.05886023429059"/>
    <n v="240.87057144339391"/>
    <n v="-52.811711209103322"/>
    <n v="-4.2424400543277905"/>
    <n v="-57.054151263431109"/>
    <n v="0"/>
    <n v="0"/>
    <n v="0"/>
    <n v="-57.054151263431109"/>
  </r>
  <r>
    <x v="9"/>
    <d v="2024-11-05T00:00:00"/>
    <d v="2024-11-25T00:00:00"/>
    <x v="13"/>
    <n v="9"/>
    <n v="26"/>
    <n v="8.3058817739101354"/>
    <n v="6.4847882839410547"/>
    <n v="168.60449538246743"/>
    <n v="215.95292612166352"/>
    <n v="-47.34843073919609"/>
    <n v="-3.8035669452593988"/>
    <n v="-51.151997684455488"/>
    <n v="0"/>
    <n v="0"/>
    <n v="0"/>
    <n v="-51.151997684455488"/>
  </r>
  <r>
    <x v="10"/>
    <d v="2024-12-04T00:00:00"/>
    <d v="2024-12-24T00:00:00"/>
    <x v="13"/>
    <n v="9"/>
    <n v="22"/>
    <n v="8.3058817739101354"/>
    <n v="6.4847882839410547"/>
    <n v="142.6653422467032"/>
    <n v="182.72939902602297"/>
    <n v="-40.06405677931977"/>
    <n v="-3.2184027998348759"/>
    <n v="-43.282459579154647"/>
    <n v="0"/>
    <n v="0"/>
    <n v="0"/>
    <n v="-43.282459579154647"/>
  </r>
  <r>
    <x v="11"/>
    <d v="2025-01-03T00:00:00"/>
    <d v="2025-01-24T00:00:00"/>
    <x v="13"/>
    <n v="9"/>
    <n v="18"/>
    <n v="8.3058817739101354"/>
    <n v="6.4847882839410547"/>
    <n v="116.72618911093899"/>
    <n v="149.50587193038243"/>
    <n v="-32.779682819443437"/>
    <n v="-2.6332386544103534"/>
    <n v="-35.412921473853793"/>
    <n v="0"/>
    <n v="0"/>
    <n v="0"/>
    <n v="-35.412921473853793"/>
  </r>
  <r>
    <x v="0"/>
    <d v="2024-02-05T00:00:00"/>
    <d v="2024-02-26T00:00:00"/>
    <x v="14"/>
    <n v="9"/>
    <n v="34"/>
    <n v="8.3058817739101354"/>
    <n v="6.4847882839410547"/>
    <n v="220.48280165399586"/>
    <n v="282.39998031294459"/>
    <n v="-61.917178658948728"/>
    <n v="-4.9738952361084454"/>
    <n v="-66.891073895057175"/>
    <n v="0"/>
    <n v="0"/>
    <n v="0"/>
    <n v="-66.891073895057175"/>
  </r>
  <r>
    <x v="1"/>
    <d v="2024-03-05T00:00:00"/>
    <d v="2024-03-25T00:00:00"/>
    <x v="14"/>
    <n v="9"/>
    <n v="32"/>
    <n v="8.3058817739101354"/>
    <n v="6.4847882839410547"/>
    <n v="207.51322508611375"/>
    <n v="265.78821676512433"/>
    <n v="-58.274991679010583"/>
    <n v="-4.6813131633961831"/>
    <n v="-62.956304842406766"/>
    <n v="0"/>
    <n v="0"/>
    <n v="0"/>
    <n v="-62.956304842406766"/>
  </r>
  <r>
    <x v="2"/>
    <d v="2024-04-03T00:00:00"/>
    <d v="2024-04-24T00:00:00"/>
    <x v="14"/>
    <n v="9"/>
    <n v="32"/>
    <n v="8.3058817739101354"/>
    <n v="6.4847882839410547"/>
    <n v="207.51322508611375"/>
    <n v="265.78821676512433"/>
    <n v="-58.274991679010583"/>
    <n v="-4.6813131633961831"/>
    <n v="-62.956304842406766"/>
    <n v="0"/>
    <n v="0"/>
    <n v="0"/>
    <n v="-62.956304842406766"/>
  </r>
  <r>
    <x v="3"/>
    <d v="2024-05-03T00:00:00"/>
    <d v="2024-05-24T00:00:00"/>
    <x v="14"/>
    <n v="9"/>
    <n v="33"/>
    <n v="8.3058817739101354"/>
    <n v="6.4847882839410547"/>
    <n v="213.99801337005479"/>
    <n v="274.09409853903446"/>
    <n v="-60.09608516897967"/>
    <n v="-4.8276041997523143"/>
    <n v="-64.923689368731985"/>
    <n v="0"/>
    <n v="0"/>
    <n v="0"/>
    <n v="-64.923689368731985"/>
  </r>
  <r>
    <x v="4"/>
    <d v="2024-06-05T00:00:00"/>
    <d v="2024-06-24T00:00:00"/>
    <x v="14"/>
    <n v="9"/>
    <n v="40"/>
    <n v="8.3058817739101354"/>
    <n v="6.4847882839410547"/>
    <n v="259.39153135764218"/>
    <n v="332.23527095640543"/>
    <n v="-72.84373959876325"/>
    <n v="-5.8516414542452297"/>
    <n v="-78.695381053008475"/>
    <n v="0"/>
    <n v="0"/>
    <n v="0"/>
    <n v="-78.695381053008475"/>
  </r>
  <r>
    <x v="5"/>
    <d v="2024-07-03T00:00:00"/>
    <d v="2024-07-24T00:00:00"/>
    <x v="14"/>
    <n v="9"/>
    <n v="47"/>
    <n v="8.3058817739101354"/>
    <n v="6.4847882839410547"/>
    <n v="304.7850493452296"/>
    <n v="390.37644337377634"/>
    <n v="-85.591394028546745"/>
    <n v="-6.8756787087381444"/>
    <n v="-92.467072737284894"/>
    <n v="0"/>
    <n v="0"/>
    <n v="0"/>
    <n v="-92.467072737284894"/>
  </r>
  <r>
    <x v="6"/>
    <d v="2024-08-05T00:00:00"/>
    <d v="2024-08-26T00:00:00"/>
    <x v="14"/>
    <n v="9"/>
    <n v="47"/>
    <n v="8.3058817739101354"/>
    <n v="6.4847882839410547"/>
    <n v="304.7850493452296"/>
    <n v="390.37644337377634"/>
    <n v="-85.591394028546745"/>
    <n v="-6.8756787087381444"/>
    <n v="-92.467072737284894"/>
    <n v="0"/>
    <n v="0"/>
    <n v="0"/>
    <n v="-92.467072737284894"/>
  </r>
  <r>
    <x v="7"/>
    <d v="2024-09-04T00:00:00"/>
    <d v="2024-09-24T00:00:00"/>
    <x v="14"/>
    <n v="9"/>
    <n v="51"/>
    <n v="8.3058817739101354"/>
    <n v="6.4847882839410547"/>
    <n v="330.72420248099377"/>
    <n v="423.59997046941692"/>
    <n v="-92.875767988423149"/>
    <n v="-7.4608428541626663"/>
    <n v="-100.33661084258581"/>
    <n v="0"/>
    <n v="0"/>
    <n v="0"/>
    <n v="-100.33661084258581"/>
  </r>
  <r>
    <x v="8"/>
    <d v="2024-10-03T00:00:00"/>
    <d v="2024-10-24T00:00:00"/>
    <x v="14"/>
    <n v="9"/>
    <n v="43"/>
    <n v="8.3058817739101354"/>
    <n v="6.4847882839410547"/>
    <n v="278.84589620946537"/>
    <n v="357.15291627813582"/>
    <n v="-78.307020068670454"/>
    <n v="-6.2905145633136215"/>
    <n v="-84.597534631984075"/>
    <n v="0"/>
    <n v="0"/>
    <n v="0"/>
    <n v="-84.597534631984075"/>
  </r>
  <r>
    <x v="9"/>
    <d v="2024-11-05T00:00:00"/>
    <d v="2024-11-25T00:00:00"/>
    <x v="14"/>
    <n v="9"/>
    <n v="37"/>
    <n v="8.3058817739101354"/>
    <n v="6.4847882839410547"/>
    <n v="239.93716650581902"/>
    <n v="307.31762563467498"/>
    <n v="-67.380459128855961"/>
    <n v="-5.4127683451768371"/>
    <n v="-72.793227474032804"/>
    <n v="0"/>
    <n v="0"/>
    <n v="0"/>
    <n v="-72.793227474032804"/>
  </r>
  <r>
    <x v="10"/>
    <d v="2024-12-04T00:00:00"/>
    <d v="2024-12-24T00:00:00"/>
    <x v="14"/>
    <n v="9"/>
    <n v="34"/>
    <n v="8.3058817739101354"/>
    <n v="6.4847882839410547"/>
    <n v="220.48280165399586"/>
    <n v="282.39998031294459"/>
    <n v="-61.917178658948728"/>
    <n v="-4.9738952361084454"/>
    <n v="-66.891073895057175"/>
    <n v="0"/>
    <n v="0"/>
    <n v="0"/>
    <n v="-66.891073895057175"/>
  </r>
  <r>
    <x v="11"/>
    <d v="2025-01-03T00:00:00"/>
    <d v="2025-01-24T00:00:00"/>
    <x v="14"/>
    <n v="9"/>
    <n v="32"/>
    <n v="8.3058817739101354"/>
    <n v="6.4847882839410547"/>
    <n v="207.51322508611375"/>
    <n v="265.78821676512433"/>
    <n v="-58.274991679010583"/>
    <n v="-4.6813131633961831"/>
    <n v="-62.956304842406766"/>
    <n v="0"/>
    <n v="0"/>
    <n v="0"/>
    <n v="-62.956304842406766"/>
  </r>
  <r>
    <x v="0"/>
    <d v="2024-02-05T00:00:00"/>
    <d v="2024-02-26T00:00:00"/>
    <x v="15"/>
    <n v="9"/>
    <n v="104"/>
    <n v="8.3058817739101354"/>
    <n v="6.4847882839410547"/>
    <n v="674.41798152986973"/>
    <n v="863.81170448665409"/>
    <n v="-189.39372295678436"/>
    <n v="-15.214267781037595"/>
    <n v="-204.60799073782195"/>
    <n v="0"/>
    <n v="0"/>
    <n v="0"/>
    <n v="-204.60799073782195"/>
  </r>
  <r>
    <x v="1"/>
    <d v="2024-03-05T00:00:00"/>
    <d v="2024-03-25T00:00:00"/>
    <x v="15"/>
    <n v="9"/>
    <n v="99"/>
    <n v="8.3058817739101354"/>
    <n v="6.4847882839410547"/>
    <n v="641.99404011016441"/>
    <n v="822.28229561710339"/>
    <n v="-180.28825550693898"/>
    <n v="-14.482812599256942"/>
    <n v="-194.77106810619591"/>
    <n v="0"/>
    <n v="0"/>
    <n v="0"/>
    <n v="-194.77106810619591"/>
  </r>
  <r>
    <x v="2"/>
    <d v="2024-04-03T00:00:00"/>
    <d v="2024-04-24T00:00:00"/>
    <x v="15"/>
    <n v="9"/>
    <n v="99"/>
    <n v="8.3058817739101354"/>
    <n v="6.4847882839410547"/>
    <n v="641.99404011016441"/>
    <n v="822.28229561710339"/>
    <n v="-180.28825550693898"/>
    <n v="-14.482812599256942"/>
    <n v="-194.77106810619591"/>
    <n v="0"/>
    <n v="0"/>
    <n v="0"/>
    <n v="-194.77106810619591"/>
  </r>
  <r>
    <x v="3"/>
    <d v="2024-05-03T00:00:00"/>
    <d v="2024-05-24T00:00:00"/>
    <x v="15"/>
    <n v="9"/>
    <n v="99"/>
    <n v="8.3058817739101354"/>
    <n v="6.4847882839410547"/>
    <n v="641.99404011016441"/>
    <n v="822.28229561710339"/>
    <n v="-180.28825550693898"/>
    <n v="-14.482812599256942"/>
    <n v="-194.77106810619591"/>
    <n v="0"/>
    <n v="0"/>
    <n v="0"/>
    <n v="-194.77106810619591"/>
  </r>
  <r>
    <x v="4"/>
    <d v="2024-06-05T00:00:00"/>
    <d v="2024-06-24T00:00:00"/>
    <x v="15"/>
    <n v="9"/>
    <n v="106"/>
    <n v="8.3058817739101354"/>
    <n v="6.4847882839410547"/>
    <n v="687.38755809775182"/>
    <n v="880.42346803447435"/>
    <n v="-193.03590993672253"/>
    <n v="-15.506849853749857"/>
    <n v="-208.54275979047239"/>
    <n v="0"/>
    <n v="0"/>
    <n v="0"/>
    <n v="-208.54275979047239"/>
  </r>
  <r>
    <x v="5"/>
    <d v="2024-07-03T00:00:00"/>
    <d v="2024-07-24T00:00:00"/>
    <x v="15"/>
    <n v="9"/>
    <n v="120"/>
    <n v="8.3058817739101354"/>
    <n v="6.4847882839410547"/>
    <n v="778.17459407292654"/>
    <n v="996.70581286921629"/>
    <n v="-218.53121879628975"/>
    <n v="-17.554924362735687"/>
    <n v="-236.08614315902543"/>
    <n v="0"/>
    <n v="0"/>
    <n v="0"/>
    <n v="-236.08614315902543"/>
  </r>
  <r>
    <x v="6"/>
    <d v="2024-08-05T00:00:00"/>
    <d v="2024-08-26T00:00:00"/>
    <x v="15"/>
    <n v="9"/>
    <n v="117"/>
    <n v="8.3058817739101354"/>
    <n v="6.4847882839410547"/>
    <n v="758.72022922110341"/>
    <n v="971.78816754748584"/>
    <n v="-213.06793832638243"/>
    <n v="-17.116051253667298"/>
    <n v="-230.18398958004974"/>
    <n v="0"/>
    <n v="0"/>
    <n v="0"/>
    <n v="-230.18398958004974"/>
  </r>
  <r>
    <x v="7"/>
    <d v="2024-09-04T00:00:00"/>
    <d v="2024-09-24T00:00:00"/>
    <x v="15"/>
    <n v="9"/>
    <n v="118"/>
    <n v="8.3058817739101354"/>
    <n v="6.4847882839410547"/>
    <n v="765.20501750504445"/>
    <n v="980.09404932139603"/>
    <n v="-214.88903181635158"/>
    <n v="-17.262342290023426"/>
    <n v="-232.15137410637499"/>
    <n v="0"/>
    <n v="0"/>
    <n v="0"/>
    <n v="-232.15137410637499"/>
  </r>
  <r>
    <x v="8"/>
    <d v="2024-10-03T00:00:00"/>
    <d v="2024-10-24T00:00:00"/>
    <x v="15"/>
    <n v="9"/>
    <n v="117"/>
    <n v="8.3058817739101354"/>
    <n v="6.4847882839410547"/>
    <n v="758.72022922110341"/>
    <n v="971.78816754748584"/>
    <n v="-213.06793832638243"/>
    <n v="-17.116051253667298"/>
    <n v="-230.18398958004974"/>
    <n v="0"/>
    <n v="0"/>
    <n v="0"/>
    <n v="-230.18398958004974"/>
  </r>
  <r>
    <x v="9"/>
    <d v="2024-11-05T00:00:00"/>
    <d v="2024-11-25T00:00:00"/>
    <x v="15"/>
    <n v="9"/>
    <n v="107"/>
    <n v="8.3058817739101354"/>
    <n v="6.4847882839410547"/>
    <n v="693.87234638169286"/>
    <n v="888.72934980838454"/>
    <n v="-194.85700342669168"/>
    <n v="-15.653140890105988"/>
    <n v="-210.51014431679766"/>
    <n v="0"/>
    <n v="0"/>
    <n v="0"/>
    <n v="-210.51014431679766"/>
  </r>
  <r>
    <x v="10"/>
    <d v="2024-12-04T00:00:00"/>
    <d v="2024-12-24T00:00:00"/>
    <x v="15"/>
    <n v="9"/>
    <n v="91"/>
    <n v="8.3058817739101354"/>
    <n v="6.4847882839410547"/>
    <n v="590.11573383863595"/>
    <n v="755.83524142582235"/>
    <n v="-165.7195075871864"/>
    <n v="-13.312484308407898"/>
    <n v="-179.0319918955943"/>
    <n v="0"/>
    <n v="0"/>
    <n v="0"/>
    <n v="-179.0319918955943"/>
  </r>
  <r>
    <x v="11"/>
    <d v="2025-01-03T00:00:00"/>
    <d v="2025-01-24T00:00:00"/>
    <x v="15"/>
    <n v="9"/>
    <n v="102"/>
    <n v="8.3058817739101354"/>
    <n v="6.4847882839410547"/>
    <n v="661.44840496198753"/>
    <n v="847.19994093883383"/>
    <n v="-185.7515359768463"/>
    <n v="-14.921685708325333"/>
    <n v="-200.67322168517163"/>
    <n v="0"/>
    <n v="0"/>
    <n v="0"/>
    <n v="-200.673221685171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8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81">
        <item m="1" x="81"/>
        <item m="1" x="105"/>
        <item m="1" x="129"/>
        <item m="1" x="153"/>
        <item m="1" x="177"/>
        <item m="1" x="57"/>
        <item m="1" x="92"/>
        <item m="1" x="116"/>
        <item m="1" x="140"/>
        <item m="1" x="164"/>
        <item m="1" x="44"/>
        <item m="1" x="68"/>
        <item m="1" x="82"/>
        <item m="1" x="106"/>
        <item m="1" x="130"/>
        <item m="1" x="154"/>
        <item m="1" x="178"/>
        <item m="1" x="58"/>
        <item m="1" x="94"/>
        <item m="1" x="118"/>
        <item m="1" x="142"/>
        <item m="1" x="166"/>
        <item m="1" x="46"/>
        <item m="1" x="70"/>
        <item m="1" x="83"/>
        <item m="1" x="107"/>
        <item m="1" x="131"/>
        <item m="1" x="155"/>
        <item m="1" x="179"/>
        <item m="1" x="59"/>
        <item m="1" x="95"/>
        <item m="1" x="119"/>
        <item m="1" x="143"/>
        <item m="1" x="167"/>
        <item m="1" x="47"/>
        <item m="1" x="71"/>
        <item m="1" x="84"/>
        <item m="1" x="108"/>
        <item m="1" x="132"/>
        <item m="1" x="156"/>
        <item m="1" x="36"/>
        <item m="1" x="60"/>
        <item m="1" x="96"/>
        <item m="1" x="120"/>
        <item m="1" x="144"/>
        <item m="1" x="168"/>
        <item m="1" x="48"/>
        <item m="1" x="72"/>
        <item m="1" x="85"/>
        <item m="1" x="109"/>
        <item m="1" x="133"/>
        <item m="1" x="157"/>
        <item m="1" x="37"/>
        <item m="1" x="61"/>
        <item m="1" x="97"/>
        <item m="1" x="121"/>
        <item m="1" x="145"/>
        <item m="1" x="169"/>
        <item m="1" x="49"/>
        <item m="1" x="73"/>
        <item m="1" x="86"/>
        <item m="1" x="110"/>
        <item m="1" x="134"/>
        <item m="1" x="158"/>
        <item m="1" x="38"/>
        <item m="1" x="62"/>
        <item m="1" x="98"/>
        <item m="1" x="122"/>
        <item m="1" x="146"/>
        <item m="1" x="170"/>
        <item m="1" x="50"/>
        <item m="1" x="74"/>
        <item m="1" x="87"/>
        <item m="1" x="111"/>
        <item m="1" x="135"/>
        <item m="1" x="159"/>
        <item m="1" x="39"/>
        <item m="1" x="63"/>
        <item m="1" x="99"/>
        <item m="1" x="123"/>
        <item m="1" x="147"/>
        <item m="1" x="171"/>
        <item m="1" x="51"/>
        <item m="1" x="75"/>
        <item m="1" x="88"/>
        <item m="1" x="112"/>
        <item m="1" x="136"/>
        <item m="1" x="160"/>
        <item m="1" x="40"/>
        <item m="1" x="64"/>
        <item m="1" x="100"/>
        <item m="1" x="124"/>
        <item m="1" x="148"/>
        <item m="1" x="172"/>
        <item m="1" x="52"/>
        <item m="1" x="76"/>
        <item m="1" x="89"/>
        <item m="1" x="113"/>
        <item m="1" x="137"/>
        <item m="1" x="161"/>
        <item m="1" x="41"/>
        <item m="1" x="65"/>
        <item m="1" x="101"/>
        <item m="1" x="125"/>
        <item m="1" x="149"/>
        <item m="1" x="173"/>
        <item m="1" x="53"/>
        <item m="1" x="77"/>
        <item m="1" x="90"/>
        <item m="1" x="114"/>
        <item m="1" x="138"/>
        <item m="1" x="162"/>
        <item m="1" x="42"/>
        <item m="1" x="66"/>
        <item m="1" x="102"/>
        <item m="1" x="126"/>
        <item m="1" x="150"/>
        <item m="1" x="174"/>
        <item m="1" x="54"/>
        <item m="1" x="78"/>
        <item m="1" x="91"/>
        <item m="1" x="115"/>
        <item m="1" x="139"/>
        <item m="1" x="163"/>
        <item m="1" x="43"/>
        <item m="1" x="67"/>
        <item m="1" x="103"/>
        <item m="1" x="127"/>
        <item m="1" x="151"/>
        <item m="1" x="175"/>
        <item m="1" x="55"/>
        <item m="1" x="79"/>
        <item m="1" x="93"/>
        <item m="1" x="117"/>
        <item m="1" x="141"/>
        <item m="1" x="165"/>
        <item m="1" x="45"/>
        <item m="1" x="69"/>
        <item m="1" x="104"/>
        <item m="1" x="128"/>
        <item m="1" x="152"/>
        <item m="1" x="176"/>
        <item m="1" x="56"/>
        <item m="1" x="80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tabSelected="1" workbookViewId="0">
      <selection activeCell="J24" sqref="J24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64</v>
      </c>
    </row>
    <row r="3" spans="1:2" x14ac:dyDescent="0.25">
      <c r="A3" s="2">
        <v>1</v>
      </c>
      <c r="B3" s="3" t="s">
        <v>66</v>
      </c>
    </row>
    <row r="4" spans="1:2" ht="13" x14ac:dyDescent="0.3">
      <c r="A4" s="2">
        <v>2</v>
      </c>
      <c r="B4" s="3" t="s">
        <v>65</v>
      </c>
    </row>
    <row r="5" spans="1:2" ht="13" x14ac:dyDescent="0.3">
      <c r="A5" s="2">
        <v>3</v>
      </c>
      <c r="B5" s="3" t="s">
        <v>67</v>
      </c>
    </row>
    <row r="6" spans="1:2" ht="13" x14ac:dyDescent="0.3">
      <c r="A6" s="2">
        <v>4</v>
      </c>
      <c r="B6" s="4" t="s">
        <v>81</v>
      </c>
    </row>
    <row r="7" spans="1:2" x14ac:dyDescent="0.25">
      <c r="A7" s="2">
        <v>5</v>
      </c>
      <c r="B7" s="3" t="s">
        <v>68</v>
      </c>
    </row>
    <row r="8" spans="1:2" x14ac:dyDescent="0.25">
      <c r="A8" s="2">
        <v>6</v>
      </c>
      <c r="B8" s="3" t="s">
        <v>69</v>
      </c>
    </row>
    <row r="9" spans="1:2" x14ac:dyDescent="0.25">
      <c r="A9" s="2">
        <v>7</v>
      </c>
      <c r="B9" s="5" t="s">
        <v>70</v>
      </c>
    </row>
    <row r="10" spans="1:2" ht="13" x14ac:dyDescent="0.3">
      <c r="A10" s="2">
        <v>8</v>
      </c>
      <c r="B10" s="3" t="s">
        <v>73</v>
      </c>
    </row>
    <row r="11" spans="1:2" x14ac:dyDescent="0.25">
      <c r="A11" s="2"/>
      <c r="B11" s="3" t="s">
        <v>74</v>
      </c>
    </row>
    <row r="12" spans="1:2" x14ac:dyDescent="0.25">
      <c r="A12" s="2"/>
      <c r="B12" s="5" t="s">
        <v>75</v>
      </c>
    </row>
    <row r="13" spans="1:2" x14ac:dyDescent="0.25">
      <c r="A13" s="2"/>
      <c r="B13" s="5" t="s">
        <v>76</v>
      </c>
    </row>
    <row r="14" spans="1:2" x14ac:dyDescent="0.25">
      <c r="A14" s="2">
        <v>9</v>
      </c>
      <c r="B14" s="3" t="s">
        <v>77</v>
      </c>
    </row>
    <row r="15" spans="1:2" x14ac:dyDescent="0.25">
      <c r="A15" s="2">
        <v>10</v>
      </c>
      <c r="B15" s="3" t="s">
        <v>79</v>
      </c>
    </row>
    <row r="16" spans="1:2" x14ac:dyDescent="0.25">
      <c r="A16" s="2">
        <v>11</v>
      </c>
      <c r="B16" s="3" t="s">
        <v>80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4"/>
  <sheetViews>
    <sheetView zoomScale="85" zoomScaleNormal="85" zoomScaleSheetLayoutView="100" workbookViewId="0">
      <selection activeCell="M21" sqref="M21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37" t="str">
        <f>+Transactions!B1</f>
        <v>AEPTCo Formula Rate -- FERC Docket ER18-194</v>
      </c>
      <c r="D1" s="237"/>
      <c r="E1" s="237"/>
      <c r="F1" s="237"/>
      <c r="G1" s="237"/>
      <c r="H1" s="237"/>
      <c r="I1" s="237"/>
      <c r="J1" s="6">
        <v>2024</v>
      </c>
    </row>
    <row r="2" spans="2:17" ht="13" x14ac:dyDescent="0.3">
      <c r="C2" s="237" t="s">
        <v>98</v>
      </c>
      <c r="D2" s="237"/>
      <c r="E2" s="237"/>
      <c r="F2" s="237"/>
      <c r="G2" s="237"/>
      <c r="H2" s="237"/>
      <c r="I2" s="237"/>
      <c r="J2" s="1">
        <v>2025</v>
      </c>
    </row>
    <row r="3" spans="2:17" ht="13" x14ac:dyDescent="0.3">
      <c r="C3" s="237" t="str">
        <f>"for period 01/01/"&amp;F8&amp;" - 12/31/"&amp;F8</f>
        <v>for period 01/01/2024 - 12/31/2024</v>
      </c>
      <c r="D3" s="237"/>
      <c r="E3" s="237"/>
      <c r="F3" s="237"/>
      <c r="G3" s="237"/>
      <c r="H3" s="237"/>
      <c r="I3" s="237"/>
    </row>
    <row r="4" spans="2:17" ht="13" x14ac:dyDescent="0.3">
      <c r="C4" s="237" t="s">
        <v>84</v>
      </c>
      <c r="D4" s="237"/>
      <c r="E4" s="237"/>
      <c r="F4" s="237"/>
      <c r="G4" s="237"/>
      <c r="H4" s="237"/>
      <c r="I4" s="237"/>
    </row>
    <row r="5" spans="2:17" x14ac:dyDescent="0.25">
      <c r="C5" s="7" t="str">
        <f>"Prepared:  May 24_, "&amp;J2&amp;""</f>
        <v>Prepared:  May 24_, 2025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2024</v>
      </c>
    </row>
    <row r="9" spans="2:17" ht="20.25" customHeight="1" x14ac:dyDescent="0.3">
      <c r="E9" s="12" t="s">
        <v>96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2024 Projections 2024)</v>
      </c>
      <c r="F10" s="18" t="str">
        <f>"(per "&amp;F8+1&amp;" Update of May "&amp;F8+1&amp;")"</f>
        <v>(per 2025 Update of May 2025)</v>
      </c>
      <c r="G10" s="19"/>
      <c r="H10" s="20"/>
    </row>
    <row r="11" spans="2:17" ht="21.75" customHeight="1" x14ac:dyDescent="0.25">
      <c r="B11" s="21"/>
      <c r="C11" s="22" t="s">
        <v>38</v>
      </c>
      <c r="D11" s="23" t="s">
        <v>36</v>
      </c>
      <c r="E11" s="24">
        <f>Transactions!K2</f>
        <v>843113.44710607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660514.59544910013</v>
      </c>
      <c r="G12" s="32"/>
      <c r="H12" s="33"/>
    </row>
    <row r="13" spans="2:17" ht="21.75" customHeight="1" x14ac:dyDescent="0.25">
      <c r="B13" s="34"/>
      <c r="C13" s="35" t="s">
        <v>39</v>
      </c>
      <c r="D13" s="36" t="s">
        <v>37</v>
      </c>
      <c r="E13" s="37">
        <f>Transactions!K3</f>
        <v>8.3058817739101354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6.4847882839410547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95</v>
      </c>
      <c r="I19" s="54" t="s">
        <v>94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51</v>
      </c>
      <c r="D20" s="56" t="str">
        <f>"Actual Charge
("&amp;F8&amp;" True-Up)"</f>
        <v>Actual Charge
(2024 True-Up)</v>
      </c>
      <c r="E20" s="57" t="str">
        <f>"Invoiced for
CY"&amp;F8&amp;" Transmission Service"</f>
        <v>Invoiced for
CY2024 Transmission Service</v>
      </c>
      <c r="F20" s="56" t="s">
        <v>40</v>
      </c>
      <c r="G20" s="58" t="s">
        <v>7</v>
      </c>
      <c r="H20" s="58" t="s">
        <v>89</v>
      </c>
      <c r="I20" s="59" t="s">
        <v>45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62597.661304882997</v>
      </c>
      <c r="E21" s="62">
        <f>GETPIVOTDATA("Sum of "&amp;T(Transactions!$K$19),Pivot!$A$3,"Customer",C21)</f>
        <v>80176.67676355454</v>
      </c>
      <c r="F21" s="62">
        <f>D21-E21</f>
        <v>-17579.015458671543</v>
      </c>
      <c r="G21" s="51">
        <f>+GETPIVOTDATA("Sum of "&amp;T(Transactions!$M$19),Pivot!$A$3,"Customer","AECC")</f>
        <v>-1412.1473739457297</v>
      </c>
      <c r="H21" s="51">
        <f>GETPIVOTDATA("Sum of "&amp;T(Transactions!$Q$19),Pivot!$A$3,"Customer","AECC")</f>
        <v>0</v>
      </c>
      <c r="I21" s="63">
        <f>F21+G21-H21</f>
        <v>-18991.162832617272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86</v>
      </c>
      <c r="D22" s="62">
        <f>GETPIVOTDATA("Sum of "&amp;T(Transactions!$J$19),Pivot!$A$3,"Customer",C22)</f>
        <v>3203.4854122668812</v>
      </c>
      <c r="E22" s="62">
        <f>GETPIVOTDATA("Sum of "&amp;T(Transactions!$K$19),Pivot!$A$3,"Customer",C22)</f>
        <v>4103.1055963116069</v>
      </c>
      <c r="F22" s="62">
        <f>D22-E22</f>
        <v>-899.62018404472565</v>
      </c>
      <c r="G22" s="51">
        <f>+GETPIVOTDATA("Sum of "&amp;T(Transactions!$M$19),Pivot!$A$3,"Customer","AECI")</f>
        <v>-72.267771959928581</v>
      </c>
      <c r="H22" s="51">
        <f>GETPIVOTDATA("Sum of "&amp;T(Transactions!$Q$19),Pivot!$A$3,"Customer",C22)</f>
        <v>0</v>
      </c>
      <c r="I22" s="63">
        <f t="shared" ref="I22:I33" si="0">F22+G22-H22</f>
        <v>-971.88795600465426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55</v>
      </c>
      <c r="D23" s="62">
        <f>GETPIVOTDATA("Sum of "&amp;T(Transactions!$J$19),Pivot!$A$3,"Customer",C23)</f>
        <v>10103.300146380163</v>
      </c>
      <c r="E23" s="62">
        <f>GETPIVOTDATA("Sum of "&amp;T(Transactions!$K$19),Pivot!$A$3,"Customer",C23)</f>
        <v>12940.563803751991</v>
      </c>
      <c r="F23" s="62">
        <f t="shared" ref="F23:F35" si="1">D23-E23</f>
        <v>-2837.2636573718282</v>
      </c>
      <c r="G23" s="51">
        <f>+GETPIVOTDATA("Sum of "&amp;T(Transactions!$M$19),Pivot!$A$3,"Customer","Bentonville, AR")</f>
        <v>-227.92143464285166</v>
      </c>
      <c r="H23" s="51">
        <f>GETPIVOTDATA("Sum of "&amp;T(Transactions!$Q$19),Pivot!$A$3,"Customer",C23)</f>
        <v>0</v>
      </c>
      <c r="I23" s="63">
        <f t="shared" si="0"/>
        <v>-3065.1850920146799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8294.0442151606094</v>
      </c>
      <c r="E24" s="62">
        <f>GETPIVOTDATA("Sum of "&amp;T(Transactions!$K$19),Pivot!$A$3,"Customer",C24)</f>
        <v>10623.222788831063</v>
      </c>
      <c r="F24" s="62">
        <f t="shared" si="1"/>
        <v>-2329.1785736704533</v>
      </c>
      <c r="G24" s="51">
        <f>+GETPIVOTDATA("Sum of "&amp;T(Transactions!$M$19),Pivot!$A$3,"Customer","Coffeyville, KS")</f>
        <v>-187.10623549949122</v>
      </c>
      <c r="H24" s="51">
        <f>GETPIVOTDATA("Sum of "&amp;T(Transactions!$Q$19),Pivot!$A$3,"Customer",C24)</f>
        <v>0</v>
      </c>
      <c r="I24" s="63">
        <f t="shared" si="0"/>
        <v>-2516.2848091699443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65742.783622594419</v>
      </c>
      <c r="E25" s="62">
        <f>GETPIVOTDATA("Sum of "&amp;T(Transactions!$K$19),Pivot!$A$3,"Customer",C25)</f>
        <v>84205.029423900967</v>
      </c>
      <c r="F25" s="62">
        <f t="shared" si="1"/>
        <v>-18462.245801306548</v>
      </c>
      <c r="G25" s="51">
        <f>+GETPIVOTDATA("Sum of "&amp;T(Transactions!$M$19),Pivot!$A$3,"Customer","ETEC")</f>
        <v>-1483.0985265784532</v>
      </c>
      <c r="H25" s="51">
        <f>GETPIVOTDATA("Sum of "&amp;T(Transactions!$Q$19),Pivot!$A$3,"Customer",C25)</f>
        <v>0</v>
      </c>
      <c r="I25" s="63">
        <f t="shared" si="0"/>
        <v>-19945.344327885003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726.29628780139831</v>
      </c>
      <c r="E26" s="62">
        <f>GETPIVOTDATA("Sum of "&amp;T(Transactions!$K$19),Pivot!$A$3,"Customer",C26)</f>
        <v>930.25875867793502</v>
      </c>
      <c r="F26" s="62">
        <f t="shared" si="1"/>
        <v>-203.96247087653671</v>
      </c>
      <c r="G26" s="51">
        <f>+GETPIVOTDATA("Sum of "&amp;T(Transactions!$M$19),Pivot!$A$3,"Customer","Greenbelt")</f>
        <v>-16.384596071886644</v>
      </c>
      <c r="H26" s="51">
        <f>GETPIVOTDATA("Sum of "&amp;T(Transactions!$Q$19),Pivot!$A$3,"Customer",C26)</f>
        <v>0</v>
      </c>
      <c r="I26" s="63">
        <f t="shared" si="0"/>
        <v>-220.34706694842336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58</v>
      </c>
      <c r="D27" s="62">
        <f>GETPIVOTDATA("Sum of "&amp;T(Transactions!$J$19),Pivot!$A$3,"Customer",C27)</f>
        <v>2995.9721871807678</v>
      </c>
      <c r="E27" s="62">
        <f>GETPIVOTDATA("Sum of "&amp;T(Transactions!$K$19),Pivot!$A$3,"Customer",C27)</f>
        <v>3837.3173795464822</v>
      </c>
      <c r="F27" s="62">
        <f t="shared" si="1"/>
        <v>-841.34519236571441</v>
      </c>
      <c r="G27" s="51">
        <f>+GETPIVOTDATA("Sum of "&amp;T(Transactions!$M$19),Pivot!$A$3,"Customer","Hope, AR")</f>
        <v>-67.586458796532384</v>
      </c>
      <c r="H27" s="51">
        <f>GETPIVOTDATA("Sum of "&amp;T(Transactions!$Q$19),Pivot!$A$3,"Customer",C27)</f>
        <v>0</v>
      </c>
      <c r="I27" s="63">
        <f t="shared" si="0"/>
        <v>-908.93165116224679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291.81547277734745</v>
      </c>
      <c r="E28" s="62">
        <f>GETPIVOTDATA("Sum of "&amp;T(Transactions!$K$19),Pivot!$A$3,"Customer",C28)</f>
        <v>373.76467982595602</v>
      </c>
      <c r="F28" s="62">
        <f t="shared" si="1"/>
        <v>-81.949207048608571</v>
      </c>
      <c r="G28" s="51">
        <f>+GETPIVOTDATA("Sum of "&amp;T(Transactions!$M$19),Pivot!$A$3,"Customer","Lighthouse")</f>
        <v>-6.5830966360258838</v>
      </c>
      <c r="H28" s="51">
        <f>GETPIVOTDATA("Sum of "&amp;T(Transactions!$Q$19),Pivot!$A$3,"Customer",C28)</f>
        <v>0</v>
      </c>
      <c r="I28" s="63">
        <f t="shared" si="0"/>
        <v>-88.532303684634456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57</v>
      </c>
      <c r="D29" s="62">
        <f>GETPIVOTDATA("Sum of "&amp;T(Transactions!$J$19),Pivot!$A$3,"Customer",C29)</f>
        <v>2114.0409805647837</v>
      </c>
      <c r="E29" s="62">
        <f>GETPIVOTDATA("Sum of "&amp;T(Transactions!$K$19),Pivot!$A$3,"Customer",C29)</f>
        <v>2707.7174582947046</v>
      </c>
      <c r="F29" s="62">
        <f t="shared" si="1"/>
        <v>-593.67647772992086</v>
      </c>
      <c r="G29" s="51">
        <f>+GETPIVOTDATA("Sum of "&amp;T(Transactions!$M$19),Pivot!$A$3,"Customer","Minden, LA")</f>
        <v>-47.690877852098623</v>
      </c>
      <c r="H29" s="51">
        <f>GETPIVOTDATA("Sum of "&amp;T(Transactions!$Q$19),Pivot!$A$3,"Customer",C29)</f>
        <v>0</v>
      </c>
      <c r="I29" s="63">
        <f t="shared" si="0"/>
        <v>-641.36735558201951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5110.013167745552</v>
      </c>
      <c r="E30" s="62">
        <f>GETPIVOTDATA("Sum of "&amp;T(Transactions!$K$19),Pivot!$A$3,"Customer",C30)</f>
        <v>6545.0348378411863</v>
      </c>
      <c r="F30" s="62">
        <f t="shared" si="1"/>
        <v>-1435.0216700956344</v>
      </c>
      <c r="G30" s="51">
        <f>+GETPIVOTDATA("Sum of "&amp;T(Transactions!$M$19),Pivot!$A$3,"Customer","OG&amp;E")</f>
        <v>-115.27733664863099</v>
      </c>
      <c r="H30" s="51">
        <f>GETPIVOTDATA("Sum of "&amp;T(Transactions!$Q$19),Pivot!$A$3,"Customer",C30)</f>
        <v>0</v>
      </c>
      <c r="I30" s="63">
        <f t="shared" si="0"/>
        <v>-1550.2990067442654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8287.5594268766672</v>
      </c>
      <c r="E31" s="62">
        <f>GETPIVOTDATA("Sum of "&amp;T(Transactions!$K$19),Pivot!$A$3,"Customer",C31)</f>
        <v>10614.916907057152</v>
      </c>
      <c r="F31" s="62">
        <f t="shared" si="1"/>
        <v>-2327.3574801804843</v>
      </c>
      <c r="G31" s="51">
        <f>+GETPIVOTDATA("Sum of "&amp;T(Transactions!$M$19),Pivot!$A$3,"Customer","OMPA")</f>
        <v>-186.95994446313506</v>
      </c>
      <c r="H31" s="51">
        <f>GETPIVOTDATA("Sum of "&amp;T(Transactions!$Q$19),Pivot!$A$3,"Customer",C31)</f>
        <v>0</v>
      </c>
      <c r="I31" s="63">
        <f t="shared" si="0"/>
        <v>-2514.3174246436192</v>
      </c>
      <c r="J31" s="60"/>
    </row>
    <row r="32" spans="2:17" x14ac:dyDescent="0.25">
      <c r="B32" s="60"/>
      <c r="C32" s="61" t="s">
        <v>56</v>
      </c>
      <c r="D32" s="62">
        <f>GETPIVOTDATA("Sum of "&amp;T(Transactions!$J$19),Pivot!$A$3,"Customer",C32)</f>
        <v>771.6898057889855</v>
      </c>
      <c r="E32" s="62">
        <f>GETPIVOTDATA("Sum of "&amp;T(Transactions!$K$19),Pivot!$A$3,"Customer",C32)</f>
        <v>988.3999310953061</v>
      </c>
      <c r="F32" s="62">
        <f t="shared" si="1"/>
        <v>-216.71012530632061</v>
      </c>
      <c r="G32" s="51">
        <f>+GETPIVOTDATA("Sum of "&amp;T(Transactions!$M$19),Pivot!$A$3,"Customer","Prescott, AR")</f>
        <v>-17.408633326379558</v>
      </c>
      <c r="H32" s="51">
        <f>GETPIVOTDATA("Sum of "&amp;T(Transactions!$Q$19),Pivot!$A$3,"Customer",C32)</f>
        <v>0</v>
      </c>
      <c r="I32" s="63">
        <f t="shared" si="0"/>
        <v>-234.11875863270018</v>
      </c>
      <c r="J32" s="60"/>
    </row>
    <row r="33" spans="2:11" x14ac:dyDescent="0.25">
      <c r="B33" s="60"/>
      <c r="C33" s="66" t="s">
        <v>9</v>
      </c>
      <c r="D33" s="62">
        <f>GETPIVOTDATA("Sum of "&amp;T(Transactions!$J$19),Pivot!$A$3,"Customer",C33)</f>
        <v>4169.7188665740978</v>
      </c>
      <c r="E33" s="62">
        <f>GETPIVOTDATA("Sum of "&amp;T(Transactions!$K$19),Pivot!$A$3,"Customer",C33)</f>
        <v>5340.6819806242165</v>
      </c>
      <c r="F33" s="62">
        <f t="shared" si="1"/>
        <v>-1170.9631140501187</v>
      </c>
      <c r="G33" s="51">
        <f>+GETPIVOTDATA("Sum of "&amp;T(Transactions!$M$19),Pivot!$A$3,"Customer","WFEC")</f>
        <v>-94.065136376992058</v>
      </c>
      <c r="H33" s="51">
        <f>GETPIVOTDATA("Sum of "&amp;T(Transactions!$Q$19),Pivot!$A$3,"Customer",C33)</f>
        <v>0</v>
      </c>
      <c r="I33" s="63">
        <f t="shared" si="0"/>
        <v>-1265.0282504271108</v>
      </c>
      <c r="J33" s="60"/>
    </row>
    <row r="34" spans="2:11" ht="23" x14ac:dyDescent="0.25">
      <c r="C34" s="67" t="s">
        <v>43</v>
      </c>
      <c r="D34" s="68">
        <f t="shared" ref="D34:I34" si="2">SUM(D21:D33)</f>
        <v>174408.38089659467</v>
      </c>
      <c r="E34" s="68">
        <f t="shared" si="2"/>
        <v>223386.69030931307</v>
      </c>
      <c r="F34" s="68">
        <f t="shared" si="2"/>
        <v>-48978.30941271843</v>
      </c>
      <c r="G34" s="69">
        <f t="shared" si="2"/>
        <v>-3934.4974227981352</v>
      </c>
      <c r="H34" s="69">
        <f t="shared" si="2"/>
        <v>0</v>
      </c>
      <c r="I34" s="70">
        <f t="shared" si="2"/>
        <v>-52912.806835516567</v>
      </c>
    </row>
    <row r="35" spans="2:11" x14ac:dyDescent="0.25">
      <c r="C35" s="71" t="s">
        <v>21</v>
      </c>
      <c r="D35" s="62">
        <f>GETPIVOTDATA("Sum of "&amp;T(Transactions!$J$19),Pivot!$A$3,"Customer",C35)</f>
        <v>248270.11945068327</v>
      </c>
      <c r="E35" s="62">
        <f>GETPIVOTDATA("Sum of "&amp;T(Transactions!$K$19),Pivot!$A$3,"Customer",C35)</f>
        <v>317990.68371414958</v>
      </c>
      <c r="F35" s="62">
        <f t="shared" si="1"/>
        <v>-69720.564263466309</v>
      </c>
      <c r="G35" s="51">
        <f>+GETPIVOTDATA("Sum of "&amp;T(Transactions!$M$19),Pivot!$A$3,"Customer","PSO")</f>
        <v>-5600.7523268944642</v>
      </c>
      <c r="H35" s="51">
        <f>GETPIVOTDATA("Sum of "&amp;T(Transactions!$Q$19),Pivot!$A$3,"Customer",C35)</f>
        <v>0</v>
      </c>
      <c r="I35" s="63">
        <f>F35+G35-H35</f>
        <v>-75321.316590360773</v>
      </c>
    </row>
    <row r="36" spans="2:11" x14ac:dyDescent="0.25">
      <c r="C36" s="72" t="s">
        <v>22</v>
      </c>
      <c r="D36" s="62">
        <f>GETPIVOTDATA("Sum of "&amp;T(Transactions!$J$19),Pivot!$A$3,"Customer",C36)</f>
        <v>227499.34257722006</v>
      </c>
      <c r="E36" s="62">
        <f>GETPIVOTDATA("Sum of "&amp;T(Transactions!$K$19),Pivot!$A$3,"Customer",C36)</f>
        <v>291386.9443923154</v>
      </c>
      <c r="F36" s="62">
        <f>D36-E36</f>
        <v>-63887.601815095346</v>
      </c>
      <c r="G36" s="51">
        <f>+GETPIVOTDATA("Sum of "&amp;T(Transactions!$M$19),Pivot!$A$3,"Customer","SWEPCO")</f>
        <v>-5132.1821374457777</v>
      </c>
      <c r="H36" s="51">
        <f>GETPIVOTDATA("Sum of "&amp;T(Transactions!$Q$19),Pivot!$A$3,"Customer",C36)</f>
        <v>0</v>
      </c>
      <c r="I36" s="63">
        <f>F36+G36-H36</f>
        <v>-69019.783952541125</v>
      </c>
    </row>
    <row r="37" spans="2:11" x14ac:dyDescent="0.25">
      <c r="C37" s="73" t="s">
        <v>82</v>
      </c>
      <c r="D37" s="62">
        <f>GETPIVOTDATA("Sum of "&amp;T(Transactions!$J$19),Pivot!$A$3,"Customer",C37)</f>
        <v>10304.328583182336</v>
      </c>
      <c r="E37" s="62">
        <f>GETPIVOTDATA("Sum of "&amp;T(Transactions!$K$19),Pivot!$A$3,"Customer",C37)</f>
        <v>13198.046138743204</v>
      </c>
      <c r="F37" s="62">
        <f>D37-E37</f>
        <v>-2893.7175555608683</v>
      </c>
      <c r="G37" s="51">
        <f>+GETPIVOTDATA("Sum of "&amp;T(Transactions!$M$19),Pivot!$A$3,"Customer","SWEPCO-Valley")</f>
        <v>-232.45645676989176</v>
      </c>
      <c r="H37" s="51">
        <f>GETPIVOTDATA("Sum of "&amp;T(Transactions!$Q$19),Pivot!$A$3,"Customer",C37)</f>
        <v>0</v>
      </c>
      <c r="I37" s="63">
        <f>F37+G37-H37</f>
        <v>-3126.17401233076</v>
      </c>
    </row>
    <row r="38" spans="2:11" ht="23" x14ac:dyDescent="0.25">
      <c r="C38" s="74" t="s">
        <v>52</v>
      </c>
      <c r="D38" s="75">
        <f t="shared" ref="D38:I38" si="3">SUM(D35:D37)</f>
        <v>486073.79061108566</v>
      </c>
      <c r="E38" s="75">
        <f t="shared" si="3"/>
        <v>622575.67424520815</v>
      </c>
      <c r="F38" s="75">
        <f t="shared" si="3"/>
        <v>-136501.88363412253</v>
      </c>
      <c r="G38" s="76">
        <f t="shared" si="3"/>
        <v>-10965.390921110135</v>
      </c>
      <c r="H38" s="76">
        <f t="shared" si="3"/>
        <v>0</v>
      </c>
      <c r="I38" s="77">
        <f t="shared" si="3"/>
        <v>-147467.27455523267</v>
      </c>
    </row>
    <row r="39" spans="2:11" ht="23.25" customHeight="1" thickBot="1" x14ac:dyDescent="0.3">
      <c r="C39" s="78" t="s">
        <v>44</v>
      </c>
      <c r="D39" s="79">
        <f t="shared" ref="D39:I39" si="4">SUM(D34,D38)</f>
        <v>660482.17150768032</v>
      </c>
      <c r="E39" s="80">
        <f t="shared" si="4"/>
        <v>845962.36455452116</v>
      </c>
      <c r="F39" s="79">
        <f t="shared" si="4"/>
        <v>-185480.19304684096</v>
      </c>
      <c r="G39" s="80">
        <f t="shared" si="4"/>
        <v>-14899.888343908269</v>
      </c>
      <c r="H39" s="80">
        <f t="shared" si="4"/>
        <v>0</v>
      </c>
      <c r="I39" s="81">
        <f t="shared" si="4"/>
        <v>-200380.08139074923</v>
      </c>
      <c r="K39" s="82"/>
    </row>
    <row r="40" spans="2:11" x14ac:dyDescent="0.25">
      <c r="E40" s="50"/>
      <c r="F40" s="50"/>
      <c r="G40" s="50"/>
      <c r="H40" s="50"/>
    </row>
    <row r="41" spans="2:11" x14ac:dyDescent="0.25">
      <c r="C41" s="3"/>
      <c r="D41" s="82"/>
      <c r="E41" s="82"/>
      <c r="F41" s="82"/>
      <c r="G41" s="82"/>
      <c r="H41" s="82"/>
      <c r="I41" s="82"/>
    </row>
    <row r="42" spans="2:11" x14ac:dyDescent="0.25">
      <c r="C42" s="3"/>
    </row>
    <row r="43" spans="2:11" x14ac:dyDescent="0.25">
      <c r="C43" s="3"/>
      <c r="D43" s="82"/>
      <c r="E43" s="82"/>
      <c r="F43" s="82"/>
      <c r="G43" s="82"/>
      <c r="H43" s="82"/>
      <c r="I43" s="82"/>
    </row>
    <row r="44" spans="2:11" x14ac:dyDescent="0.25">
      <c r="D44" s="82"/>
      <c r="E44" s="82"/>
      <c r="F44" s="82"/>
      <c r="G44" s="82"/>
      <c r="H44" s="82"/>
      <c r="I44" s="8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G98" activePane="bottomRight" state="frozen"/>
      <selection activeCell="M21" sqref="M21"/>
      <selection pane="topRight" activeCell="M21" sqref="M21"/>
      <selection pane="bottomLeft" activeCell="M21" sqref="M21"/>
      <selection pane="bottomRight" activeCell="M21" sqref="M21"/>
    </sheetView>
  </sheetViews>
  <sheetFormatPr defaultColWidth="8.7265625" defaultRowHeight="12.5" x14ac:dyDescent="0.25"/>
  <cols>
    <col min="1" max="1" width="19.1796875" style="1" customWidth="1"/>
    <col min="2" max="2" width="28.54296875" style="1" bestFit="1" customWidth="1"/>
    <col min="3" max="14" width="15.453125" style="1" bestFit="1" customWidth="1"/>
    <col min="15" max="15" width="10.54296875" style="1" bestFit="1" customWidth="1"/>
    <col min="16" max="16384" width="8.7265625" style="1"/>
  </cols>
  <sheetData>
    <row r="3" spans="1:15" x14ac:dyDescent="0.25">
      <c r="A3" s="213"/>
      <c r="B3" s="214"/>
      <c r="C3" s="215" t="s">
        <v>54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</row>
    <row r="4" spans="1:15" x14ac:dyDescent="0.25">
      <c r="A4" s="215" t="s">
        <v>0</v>
      </c>
      <c r="B4" s="215" t="s">
        <v>24</v>
      </c>
      <c r="C4" s="217">
        <v>45292</v>
      </c>
      <c r="D4" s="218">
        <v>45323</v>
      </c>
      <c r="E4" s="218">
        <v>45352</v>
      </c>
      <c r="F4" s="218">
        <v>45383</v>
      </c>
      <c r="G4" s="218">
        <v>45413</v>
      </c>
      <c r="H4" s="218">
        <v>45444</v>
      </c>
      <c r="I4" s="218">
        <v>45474</v>
      </c>
      <c r="J4" s="218">
        <v>45505</v>
      </c>
      <c r="K4" s="218">
        <v>45536</v>
      </c>
      <c r="L4" s="218">
        <v>45566</v>
      </c>
      <c r="M4" s="218">
        <v>45597</v>
      </c>
      <c r="N4" s="218">
        <v>45627</v>
      </c>
      <c r="O4" s="219" t="s">
        <v>18</v>
      </c>
    </row>
    <row r="5" spans="1:15" x14ac:dyDescent="0.25">
      <c r="A5" s="213" t="s">
        <v>14</v>
      </c>
      <c r="B5" s="213" t="s">
        <v>71</v>
      </c>
      <c r="C5" s="220">
        <v>7321.3259725694506</v>
      </c>
      <c r="D5" s="221">
        <v>4792.2585418324397</v>
      </c>
      <c r="E5" s="221">
        <v>4163.2340782901574</v>
      </c>
      <c r="F5" s="221">
        <v>3767.6619929697526</v>
      </c>
      <c r="G5" s="221">
        <v>4883.0455778076139</v>
      </c>
      <c r="H5" s="221">
        <v>6491.2730722249953</v>
      </c>
      <c r="I5" s="221">
        <v>6231.8815408673536</v>
      </c>
      <c r="J5" s="221">
        <v>6595.0296847680529</v>
      </c>
      <c r="K5" s="221">
        <v>5550.9787710535429</v>
      </c>
      <c r="L5" s="221">
        <v>5097.0435911776685</v>
      </c>
      <c r="M5" s="221">
        <v>3002.4569754647082</v>
      </c>
      <c r="N5" s="221">
        <v>4701.4715058572647</v>
      </c>
      <c r="O5" s="222">
        <v>62597.661304882997</v>
      </c>
    </row>
    <row r="6" spans="1:15" ht="13" x14ac:dyDescent="0.3">
      <c r="A6" s="223"/>
      <c r="B6" s="224" t="s">
        <v>25</v>
      </c>
      <c r="C6" s="225">
        <v>-2056.0145501750931</v>
      </c>
      <c r="D6" s="212">
        <v>-1345.7880890871502</v>
      </c>
      <c r="E6" s="212">
        <v>-1169.1420205601498</v>
      </c>
      <c r="F6" s="212">
        <v>-1058.0553176720359</v>
      </c>
      <c r="G6" s="212">
        <v>-1371.2833979467177</v>
      </c>
      <c r="H6" s="212">
        <v>-1822.9145834590499</v>
      </c>
      <c r="I6" s="212">
        <v>-1750.0708438602869</v>
      </c>
      <c r="J6" s="212">
        <v>-1852.0520792985553</v>
      </c>
      <c r="K6" s="212">
        <v>-1558.8560274135334</v>
      </c>
      <c r="L6" s="212">
        <v>-1431.3794831156974</v>
      </c>
      <c r="M6" s="212">
        <v>-843.16628585568469</v>
      </c>
      <c r="N6" s="212">
        <v>-1320.2927802275835</v>
      </c>
      <c r="O6" s="226">
        <v>-17579.015458671536</v>
      </c>
    </row>
    <row r="7" spans="1:15" ht="13" x14ac:dyDescent="0.3">
      <c r="A7" s="223"/>
      <c r="B7" s="224" t="s">
        <v>26</v>
      </c>
      <c r="C7" s="225">
        <v>-165.16258004607158</v>
      </c>
      <c r="D7" s="212">
        <v>-108.10907586718061</v>
      </c>
      <c r="E7" s="212">
        <v>-93.918845340635926</v>
      </c>
      <c r="F7" s="212">
        <v>-84.995092122911956</v>
      </c>
      <c r="G7" s="212">
        <v>-110.15715037616644</v>
      </c>
      <c r="H7" s="212">
        <v>-146.43732739248685</v>
      </c>
      <c r="I7" s="212">
        <v>-140.58568593824162</v>
      </c>
      <c r="J7" s="212">
        <v>-148.77798397418496</v>
      </c>
      <c r="K7" s="212">
        <v>-125.2251271208479</v>
      </c>
      <c r="L7" s="212">
        <v>-114.98475457591874</v>
      </c>
      <c r="M7" s="212">
        <v>-67.73274983288853</v>
      </c>
      <c r="N7" s="212">
        <v>-106.06100135819477</v>
      </c>
      <c r="O7" s="226">
        <v>-1412.1473739457297</v>
      </c>
    </row>
    <row r="8" spans="1:15" ht="13" x14ac:dyDescent="0.3">
      <c r="A8" s="223"/>
      <c r="B8" s="224" t="s">
        <v>27</v>
      </c>
      <c r="C8" s="225">
        <v>-2221.1771302211646</v>
      </c>
      <c r="D8" s="212">
        <v>-1453.8971649543307</v>
      </c>
      <c r="E8" s="212">
        <v>-1263.0608659007858</v>
      </c>
      <c r="F8" s="212">
        <v>-1143.0504097949479</v>
      </c>
      <c r="G8" s="212">
        <v>-1481.4405483228843</v>
      </c>
      <c r="H8" s="212">
        <v>-1969.3519108515368</v>
      </c>
      <c r="I8" s="212">
        <v>-1890.6565297985285</v>
      </c>
      <c r="J8" s="212">
        <v>-2000.8300632727403</v>
      </c>
      <c r="K8" s="212">
        <v>-1684.0811545343813</v>
      </c>
      <c r="L8" s="212">
        <v>-1546.3642376916162</v>
      </c>
      <c r="M8" s="212">
        <v>-910.89903568857324</v>
      </c>
      <c r="N8" s="212">
        <v>-1426.3537815857783</v>
      </c>
      <c r="O8" s="226">
        <v>-18991.162832617272</v>
      </c>
    </row>
    <row r="9" spans="1:15" x14ac:dyDescent="0.25">
      <c r="A9" s="223"/>
      <c r="B9" s="224" t="s">
        <v>50</v>
      </c>
      <c r="C9" s="227">
        <v>9377.3405227445437</v>
      </c>
      <c r="D9" s="83">
        <v>6138.0466309195899</v>
      </c>
      <c r="E9" s="83">
        <v>5332.3760988503072</v>
      </c>
      <c r="F9" s="83">
        <v>4825.7173106417886</v>
      </c>
      <c r="G9" s="83">
        <v>6254.3289757543316</v>
      </c>
      <c r="H9" s="83">
        <v>8314.1876556840452</v>
      </c>
      <c r="I9" s="83">
        <v>7981.9523847276405</v>
      </c>
      <c r="J9" s="83">
        <v>8447.0817640666082</v>
      </c>
      <c r="K9" s="83">
        <v>7109.8347984670763</v>
      </c>
      <c r="L9" s="83">
        <v>6528.423074293366</v>
      </c>
      <c r="M9" s="83">
        <v>3845.6232613203929</v>
      </c>
      <c r="N9" s="83">
        <v>6021.7642860848482</v>
      </c>
      <c r="O9" s="228">
        <v>80176.67676355454</v>
      </c>
    </row>
    <row r="10" spans="1:15" x14ac:dyDescent="0.25">
      <c r="A10" s="223"/>
      <c r="B10" s="224" t="s">
        <v>90</v>
      </c>
      <c r="C10" s="227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228">
        <v>0</v>
      </c>
    </row>
    <row r="11" spans="1:15" x14ac:dyDescent="0.25">
      <c r="A11" s="223"/>
      <c r="B11" s="224" t="s">
        <v>92</v>
      </c>
      <c r="C11" s="227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228">
        <v>0</v>
      </c>
    </row>
    <row r="12" spans="1:15" x14ac:dyDescent="0.25">
      <c r="A12" s="213" t="s">
        <v>17</v>
      </c>
      <c r="B12" s="213" t="s">
        <v>71</v>
      </c>
      <c r="C12" s="220">
        <v>674.41798152986973</v>
      </c>
      <c r="D12" s="221">
        <v>641.99404011016441</v>
      </c>
      <c r="E12" s="221">
        <v>641.99404011016441</v>
      </c>
      <c r="F12" s="221">
        <v>641.99404011016441</v>
      </c>
      <c r="G12" s="221">
        <v>687.38755809775182</v>
      </c>
      <c r="H12" s="221">
        <v>778.17459407292654</v>
      </c>
      <c r="I12" s="221">
        <v>758.72022922110341</v>
      </c>
      <c r="J12" s="221">
        <v>765.20501750504445</v>
      </c>
      <c r="K12" s="221">
        <v>758.72022922110341</v>
      </c>
      <c r="L12" s="221">
        <v>693.87234638169286</v>
      </c>
      <c r="M12" s="221">
        <v>590.11573383863595</v>
      </c>
      <c r="N12" s="221">
        <v>661.44840496198753</v>
      </c>
      <c r="O12" s="222">
        <v>8294.0442151606094</v>
      </c>
    </row>
    <row r="13" spans="1:15" ht="13" x14ac:dyDescent="0.3">
      <c r="A13" s="223"/>
      <c r="B13" s="224" t="s">
        <v>25</v>
      </c>
      <c r="C13" s="225">
        <v>-189.39372295678436</v>
      </c>
      <c r="D13" s="212">
        <v>-180.28825550693898</v>
      </c>
      <c r="E13" s="212">
        <v>-180.28825550693898</v>
      </c>
      <c r="F13" s="212">
        <v>-180.28825550693898</v>
      </c>
      <c r="G13" s="212">
        <v>-193.03590993672253</v>
      </c>
      <c r="H13" s="212">
        <v>-218.53121879628975</v>
      </c>
      <c r="I13" s="212">
        <v>-213.06793832638243</v>
      </c>
      <c r="J13" s="212">
        <v>-214.88903181635158</v>
      </c>
      <c r="K13" s="212">
        <v>-213.06793832638243</v>
      </c>
      <c r="L13" s="212">
        <v>-194.85700342669168</v>
      </c>
      <c r="M13" s="212">
        <v>-165.7195075871864</v>
      </c>
      <c r="N13" s="212">
        <v>-185.7515359768463</v>
      </c>
      <c r="O13" s="226">
        <v>-2329.1785736704546</v>
      </c>
    </row>
    <row r="14" spans="1:15" ht="13" x14ac:dyDescent="0.3">
      <c r="A14" s="223"/>
      <c r="B14" s="224" t="s">
        <v>26</v>
      </c>
      <c r="C14" s="225">
        <v>-15.214267781037595</v>
      </c>
      <c r="D14" s="212">
        <v>-14.482812599256942</v>
      </c>
      <c r="E14" s="212">
        <v>-14.482812599256942</v>
      </c>
      <c r="F14" s="212">
        <v>-14.482812599256942</v>
      </c>
      <c r="G14" s="212">
        <v>-15.506849853749857</v>
      </c>
      <c r="H14" s="212">
        <v>-17.554924362735687</v>
      </c>
      <c r="I14" s="212">
        <v>-17.116051253667298</v>
      </c>
      <c r="J14" s="212">
        <v>-17.262342290023426</v>
      </c>
      <c r="K14" s="212">
        <v>-17.116051253667298</v>
      </c>
      <c r="L14" s="212">
        <v>-15.653140890105988</v>
      </c>
      <c r="M14" s="212">
        <v>-13.312484308407898</v>
      </c>
      <c r="N14" s="212">
        <v>-14.921685708325333</v>
      </c>
      <c r="O14" s="226">
        <v>-187.10623549949122</v>
      </c>
    </row>
    <row r="15" spans="1:15" ht="13" x14ac:dyDescent="0.3">
      <c r="A15" s="223"/>
      <c r="B15" s="224" t="s">
        <v>27</v>
      </c>
      <c r="C15" s="225">
        <v>-204.60799073782195</v>
      </c>
      <c r="D15" s="212">
        <v>-194.77106810619591</v>
      </c>
      <c r="E15" s="212">
        <v>-194.77106810619591</v>
      </c>
      <c r="F15" s="212">
        <v>-194.77106810619591</v>
      </c>
      <c r="G15" s="212">
        <v>-208.54275979047239</v>
      </c>
      <c r="H15" s="212">
        <v>-236.08614315902543</v>
      </c>
      <c r="I15" s="212">
        <v>-230.18398958004974</v>
      </c>
      <c r="J15" s="212">
        <v>-232.15137410637499</v>
      </c>
      <c r="K15" s="212">
        <v>-230.18398958004974</v>
      </c>
      <c r="L15" s="212">
        <v>-210.51014431679766</v>
      </c>
      <c r="M15" s="212">
        <v>-179.0319918955943</v>
      </c>
      <c r="N15" s="212">
        <v>-200.67322168517163</v>
      </c>
      <c r="O15" s="226">
        <v>-2516.2848091699452</v>
      </c>
    </row>
    <row r="16" spans="1:15" x14ac:dyDescent="0.25">
      <c r="A16" s="223"/>
      <c r="B16" s="224" t="s">
        <v>50</v>
      </c>
      <c r="C16" s="227">
        <v>863.81170448665409</v>
      </c>
      <c r="D16" s="83">
        <v>822.28229561710339</v>
      </c>
      <c r="E16" s="83">
        <v>822.28229561710339</v>
      </c>
      <c r="F16" s="83">
        <v>822.28229561710339</v>
      </c>
      <c r="G16" s="83">
        <v>880.42346803447435</v>
      </c>
      <c r="H16" s="83">
        <v>996.70581286921629</v>
      </c>
      <c r="I16" s="83">
        <v>971.78816754748584</v>
      </c>
      <c r="J16" s="83">
        <v>980.09404932139603</v>
      </c>
      <c r="K16" s="83">
        <v>971.78816754748584</v>
      </c>
      <c r="L16" s="83">
        <v>888.72934980838454</v>
      </c>
      <c r="M16" s="83">
        <v>755.83524142582235</v>
      </c>
      <c r="N16" s="83">
        <v>847.19994093883383</v>
      </c>
      <c r="O16" s="228">
        <v>10623.222788831063</v>
      </c>
    </row>
    <row r="17" spans="1:15" x14ac:dyDescent="0.25">
      <c r="A17" s="223"/>
      <c r="B17" s="224" t="s">
        <v>90</v>
      </c>
      <c r="C17" s="227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228">
        <v>0</v>
      </c>
    </row>
    <row r="18" spans="1:15" x14ac:dyDescent="0.25">
      <c r="A18" s="223"/>
      <c r="B18" s="224" t="s">
        <v>92</v>
      </c>
      <c r="C18" s="227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228">
        <v>0</v>
      </c>
    </row>
    <row r="19" spans="1:15" x14ac:dyDescent="0.25">
      <c r="A19" s="213" t="s">
        <v>13</v>
      </c>
      <c r="B19" s="213" t="s">
        <v>71</v>
      </c>
      <c r="C19" s="220">
        <v>9415.9125882824119</v>
      </c>
      <c r="D19" s="221">
        <v>6264.305482287059</v>
      </c>
      <c r="E19" s="221">
        <v>4746.8650238448517</v>
      </c>
      <c r="F19" s="221">
        <v>3547.1791913157567</v>
      </c>
      <c r="G19" s="221">
        <v>4844.1368481039681</v>
      </c>
      <c r="H19" s="221">
        <v>5946.5508563739468</v>
      </c>
      <c r="I19" s="221">
        <v>6160.5488697440023</v>
      </c>
      <c r="J19" s="221">
        <v>6095.7009869045914</v>
      </c>
      <c r="K19" s="221">
        <v>5291.5872396959003</v>
      </c>
      <c r="L19" s="221">
        <v>4429.1103979317404</v>
      </c>
      <c r="M19" s="221">
        <v>3404.5138490690538</v>
      </c>
      <c r="N19" s="221">
        <v>5596.37228904113</v>
      </c>
      <c r="O19" s="222">
        <v>65742.783622594419</v>
      </c>
    </row>
    <row r="20" spans="1:15" ht="13" x14ac:dyDescent="0.3">
      <c r="A20" s="223"/>
      <c r="B20" s="224" t="s">
        <v>25</v>
      </c>
      <c r="C20" s="225">
        <v>-2644.2277474351049</v>
      </c>
      <c r="D20" s="212">
        <v>-1759.1763113101315</v>
      </c>
      <c r="E20" s="212">
        <v>-1333.0404346573678</v>
      </c>
      <c r="F20" s="212">
        <v>-996.13813901308731</v>
      </c>
      <c r="G20" s="212">
        <v>-1360.3568370069033</v>
      </c>
      <c r="H20" s="212">
        <v>-1669.9427303016473</v>
      </c>
      <c r="I20" s="212">
        <v>-1730.0388154706261</v>
      </c>
      <c r="J20" s="212">
        <v>-1711.827880570936</v>
      </c>
      <c r="K20" s="212">
        <v>-1486.0122878147704</v>
      </c>
      <c r="L20" s="212">
        <v>-1243.8068536488818</v>
      </c>
      <c r="M20" s="212">
        <v>-956.07408223376706</v>
      </c>
      <c r="N20" s="212">
        <v>-1571.6036818433167</v>
      </c>
      <c r="O20" s="226">
        <v>-18462.245801306541</v>
      </c>
    </row>
    <row r="21" spans="1:15" ht="13" x14ac:dyDescent="0.3">
      <c r="A21" s="223"/>
      <c r="B21" s="224" t="s">
        <v>26</v>
      </c>
      <c r="C21" s="225">
        <v>-212.41458478910181</v>
      </c>
      <c r="D21" s="212">
        <v>-141.31714112002228</v>
      </c>
      <c r="E21" s="212">
        <v>-107.0850386126877</v>
      </c>
      <c r="F21" s="212">
        <v>-80.021196886803509</v>
      </c>
      <c r="G21" s="212">
        <v>-109.27940415802966</v>
      </c>
      <c r="H21" s="212">
        <v>-134.14888033857187</v>
      </c>
      <c r="I21" s="212">
        <v>-138.9764845383242</v>
      </c>
      <c r="J21" s="212">
        <v>-137.51357417476288</v>
      </c>
      <c r="K21" s="212">
        <v>-119.37348566660266</v>
      </c>
      <c r="L21" s="212">
        <v>-99.916777831237297</v>
      </c>
      <c r="M21" s="212">
        <v>-76.802794086968632</v>
      </c>
      <c r="N21" s="212">
        <v>-126.24916437534081</v>
      </c>
      <c r="O21" s="226">
        <v>-1483.0985265784532</v>
      </c>
    </row>
    <row r="22" spans="1:15" ht="13" x14ac:dyDescent="0.3">
      <c r="A22" s="223"/>
      <c r="B22" s="224" t="s">
        <v>27</v>
      </c>
      <c r="C22" s="225">
        <v>-2856.6423322242067</v>
      </c>
      <c r="D22" s="212">
        <v>-1900.4934524301539</v>
      </c>
      <c r="E22" s="212">
        <v>-1440.1254732700554</v>
      </c>
      <c r="F22" s="212">
        <v>-1076.1593358998907</v>
      </c>
      <c r="G22" s="212">
        <v>-1469.6362411649329</v>
      </c>
      <c r="H22" s="212">
        <v>-1804.0916106402192</v>
      </c>
      <c r="I22" s="212">
        <v>-1869.0153000089504</v>
      </c>
      <c r="J22" s="212">
        <v>-1849.3414547456989</v>
      </c>
      <c r="K22" s="212">
        <v>-1605.385773481373</v>
      </c>
      <c r="L22" s="212">
        <v>-1343.7236314801191</v>
      </c>
      <c r="M22" s="212">
        <v>-1032.8768763207356</v>
      </c>
      <c r="N22" s="212">
        <v>-1697.8528462186575</v>
      </c>
      <c r="O22" s="226">
        <v>-19945.344327884999</v>
      </c>
    </row>
    <row r="23" spans="1:15" x14ac:dyDescent="0.25">
      <c r="A23" s="223"/>
      <c r="B23" s="224" t="s">
        <v>50</v>
      </c>
      <c r="C23" s="227">
        <v>12060.140335717517</v>
      </c>
      <c r="D23" s="83">
        <v>8023.4817935971905</v>
      </c>
      <c r="E23" s="83">
        <v>6079.9054585022195</v>
      </c>
      <c r="F23" s="83">
        <v>4543.317330328844</v>
      </c>
      <c r="G23" s="83">
        <v>6204.4936851108714</v>
      </c>
      <c r="H23" s="83">
        <v>7616.4935866755941</v>
      </c>
      <c r="I23" s="83">
        <v>7890.5876852146284</v>
      </c>
      <c r="J23" s="83">
        <v>7807.5288674755275</v>
      </c>
      <c r="K23" s="83">
        <v>6777.5995275106707</v>
      </c>
      <c r="L23" s="83">
        <v>5672.9172515806222</v>
      </c>
      <c r="M23" s="83">
        <v>4360.5879313028208</v>
      </c>
      <c r="N23" s="83">
        <v>7167.9759708844467</v>
      </c>
      <c r="O23" s="228">
        <v>84205.029423900967</v>
      </c>
    </row>
    <row r="24" spans="1:15" x14ac:dyDescent="0.25">
      <c r="A24" s="223"/>
      <c r="B24" s="224" t="s">
        <v>90</v>
      </c>
      <c r="C24" s="227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228">
        <v>0</v>
      </c>
    </row>
    <row r="25" spans="1:15" x14ac:dyDescent="0.25">
      <c r="A25" s="223"/>
      <c r="B25" s="224" t="s">
        <v>92</v>
      </c>
      <c r="C25" s="227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228">
        <v>0</v>
      </c>
    </row>
    <row r="26" spans="1:15" x14ac:dyDescent="0.25">
      <c r="A26" s="213" t="s">
        <v>15</v>
      </c>
      <c r="B26" s="213" t="s">
        <v>71</v>
      </c>
      <c r="C26" s="220">
        <v>51.878306271528437</v>
      </c>
      <c r="D26" s="221">
        <v>32.423941419705272</v>
      </c>
      <c r="E26" s="221">
        <v>32.423941419705272</v>
      </c>
      <c r="F26" s="221">
        <v>38.90872970364633</v>
      </c>
      <c r="G26" s="221">
        <v>58.363094555469495</v>
      </c>
      <c r="H26" s="221">
        <v>90.78703597517476</v>
      </c>
      <c r="I26" s="221">
        <v>110.24140082699793</v>
      </c>
      <c r="J26" s="221">
        <v>123.21097739488003</v>
      </c>
      <c r="K26" s="221">
        <v>71.332671123351602</v>
      </c>
      <c r="L26" s="221">
        <v>38.90872970364633</v>
      </c>
      <c r="M26" s="221">
        <v>38.90872970364633</v>
      </c>
      <c r="N26" s="221">
        <v>38.90872970364633</v>
      </c>
      <c r="O26" s="222">
        <v>726.29628780139831</v>
      </c>
    </row>
    <row r="27" spans="1:15" ht="13" x14ac:dyDescent="0.3">
      <c r="A27" s="223"/>
      <c r="B27" s="224" t="s">
        <v>25</v>
      </c>
      <c r="C27" s="225">
        <v>-14.568747919752646</v>
      </c>
      <c r="D27" s="212">
        <v>-9.1054674498454062</v>
      </c>
      <c r="E27" s="212">
        <v>-9.1054674498454062</v>
      </c>
      <c r="F27" s="212">
        <v>-10.926560939814479</v>
      </c>
      <c r="G27" s="212">
        <v>-16.389841409721718</v>
      </c>
      <c r="H27" s="212">
        <v>-25.495308859567132</v>
      </c>
      <c r="I27" s="212">
        <v>-30.958589329474364</v>
      </c>
      <c r="J27" s="212">
        <v>-34.600776309412552</v>
      </c>
      <c r="K27" s="212">
        <v>-20.032028389659885</v>
      </c>
      <c r="L27" s="212">
        <v>-10.926560939814479</v>
      </c>
      <c r="M27" s="212">
        <v>-10.926560939814479</v>
      </c>
      <c r="N27" s="212">
        <v>-10.926560939814479</v>
      </c>
      <c r="O27" s="226">
        <v>-203.962470876537</v>
      </c>
    </row>
    <row r="28" spans="1:15" ht="13" x14ac:dyDescent="0.3">
      <c r="A28" s="223"/>
      <c r="B28" s="224" t="s">
        <v>26</v>
      </c>
      <c r="C28" s="225">
        <v>-1.1703282908490458</v>
      </c>
      <c r="D28" s="212">
        <v>-0.73145518178065372</v>
      </c>
      <c r="E28" s="212">
        <v>-0.73145518178065372</v>
      </c>
      <c r="F28" s="212">
        <v>-0.87774621813678433</v>
      </c>
      <c r="G28" s="212">
        <v>-1.3166193272051767</v>
      </c>
      <c r="H28" s="212">
        <v>-2.0480745089858301</v>
      </c>
      <c r="I28" s="212">
        <v>-2.4869476180542227</v>
      </c>
      <c r="J28" s="212">
        <v>-2.7795296907664842</v>
      </c>
      <c r="K28" s="212">
        <v>-1.6092013999174379</v>
      </c>
      <c r="L28" s="212">
        <v>-0.87774621813678433</v>
      </c>
      <c r="M28" s="212">
        <v>-0.87774621813678433</v>
      </c>
      <c r="N28" s="212">
        <v>-0.87774621813678433</v>
      </c>
      <c r="O28" s="226">
        <v>-16.384596071886644</v>
      </c>
    </row>
    <row r="29" spans="1:15" ht="13" x14ac:dyDescent="0.3">
      <c r="A29" s="223"/>
      <c r="B29" s="224" t="s">
        <v>27</v>
      </c>
      <c r="C29" s="225">
        <v>-15.739076210601691</v>
      </c>
      <c r="D29" s="212">
        <v>-9.8369226316260594</v>
      </c>
      <c r="E29" s="212">
        <v>-9.8369226316260594</v>
      </c>
      <c r="F29" s="212">
        <v>-11.804307157951264</v>
      </c>
      <c r="G29" s="212">
        <v>-17.706460736926896</v>
      </c>
      <c r="H29" s="212">
        <v>-27.543383368552963</v>
      </c>
      <c r="I29" s="212">
        <v>-33.445536947528588</v>
      </c>
      <c r="J29" s="212">
        <v>-37.380306000179033</v>
      </c>
      <c r="K29" s="212">
        <v>-21.641229789577324</v>
      </c>
      <c r="L29" s="212">
        <v>-11.804307157951264</v>
      </c>
      <c r="M29" s="212">
        <v>-11.804307157951264</v>
      </c>
      <c r="N29" s="212">
        <v>-11.804307157951264</v>
      </c>
      <c r="O29" s="226">
        <v>-220.34706694842367</v>
      </c>
    </row>
    <row r="30" spans="1:15" x14ac:dyDescent="0.25">
      <c r="A30" s="223"/>
      <c r="B30" s="224" t="s">
        <v>50</v>
      </c>
      <c r="C30" s="227">
        <v>66.447054191281083</v>
      </c>
      <c r="D30" s="83">
        <v>41.529408869550679</v>
      </c>
      <c r="E30" s="83">
        <v>41.529408869550679</v>
      </c>
      <c r="F30" s="83">
        <v>49.835290643460809</v>
      </c>
      <c r="G30" s="83">
        <v>74.752935965191213</v>
      </c>
      <c r="H30" s="83">
        <v>116.28234483474189</v>
      </c>
      <c r="I30" s="83">
        <v>141.1999901564723</v>
      </c>
      <c r="J30" s="83">
        <v>157.81175370429258</v>
      </c>
      <c r="K30" s="83">
        <v>91.364699513011487</v>
      </c>
      <c r="L30" s="83">
        <v>49.835290643460809</v>
      </c>
      <c r="M30" s="83">
        <v>49.835290643460809</v>
      </c>
      <c r="N30" s="83">
        <v>49.835290643460809</v>
      </c>
      <c r="O30" s="228">
        <v>930.25875867793502</v>
      </c>
    </row>
    <row r="31" spans="1:15" x14ac:dyDescent="0.25">
      <c r="A31" s="223"/>
      <c r="B31" s="224" t="s">
        <v>90</v>
      </c>
      <c r="C31" s="227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228">
        <v>0</v>
      </c>
    </row>
    <row r="32" spans="1:15" x14ac:dyDescent="0.25">
      <c r="A32" s="223"/>
      <c r="B32" s="224" t="s">
        <v>92</v>
      </c>
      <c r="C32" s="227">
        <v>0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228">
        <v>0</v>
      </c>
    </row>
    <row r="33" spans="1:15" x14ac:dyDescent="0.25">
      <c r="A33" s="213" t="s">
        <v>16</v>
      </c>
      <c r="B33" s="213" t="s">
        <v>71</v>
      </c>
      <c r="C33" s="220">
        <v>25.939153135764219</v>
      </c>
      <c r="D33" s="221">
        <v>19.454364851823165</v>
      </c>
      <c r="E33" s="221">
        <v>19.454364851823165</v>
      </c>
      <c r="F33" s="221">
        <v>12.969576567882109</v>
      </c>
      <c r="G33" s="221">
        <v>25.939153135764219</v>
      </c>
      <c r="H33" s="221">
        <v>25.939153135764219</v>
      </c>
      <c r="I33" s="221">
        <v>38.90872970364633</v>
      </c>
      <c r="J33" s="221">
        <v>38.90872970364633</v>
      </c>
      <c r="K33" s="221">
        <v>19.454364851823165</v>
      </c>
      <c r="L33" s="221">
        <v>38.90872970364633</v>
      </c>
      <c r="M33" s="221">
        <v>6.4847882839410547</v>
      </c>
      <c r="N33" s="221">
        <v>19.454364851823165</v>
      </c>
      <c r="O33" s="222">
        <v>291.81547277734745</v>
      </c>
    </row>
    <row r="34" spans="1:15" ht="13" x14ac:dyDescent="0.3">
      <c r="A34" s="223"/>
      <c r="B34" s="224" t="s">
        <v>25</v>
      </c>
      <c r="C34" s="225">
        <v>-7.2843739598763229</v>
      </c>
      <c r="D34" s="212">
        <v>-5.4632804699072395</v>
      </c>
      <c r="E34" s="212">
        <v>-5.4632804699072395</v>
      </c>
      <c r="F34" s="212">
        <v>-3.6421869799381614</v>
      </c>
      <c r="G34" s="212">
        <v>-7.2843739598763229</v>
      </c>
      <c r="H34" s="212">
        <v>-7.2843739598763229</v>
      </c>
      <c r="I34" s="212">
        <v>-10.926560939814479</v>
      </c>
      <c r="J34" s="212">
        <v>-10.926560939814479</v>
      </c>
      <c r="K34" s="212">
        <v>-5.4632804699072395</v>
      </c>
      <c r="L34" s="212">
        <v>-10.926560939814479</v>
      </c>
      <c r="M34" s="212">
        <v>-1.8210934899690807</v>
      </c>
      <c r="N34" s="212">
        <v>-5.4632804699072395</v>
      </c>
      <c r="O34" s="226">
        <v>-81.949207048608599</v>
      </c>
    </row>
    <row r="35" spans="1:15" ht="13" x14ac:dyDescent="0.3">
      <c r="A35" s="223"/>
      <c r="B35" s="224" t="s">
        <v>26</v>
      </c>
      <c r="C35" s="225">
        <v>-0.58516414542452289</v>
      </c>
      <c r="D35" s="212">
        <v>-0.43887310906839216</v>
      </c>
      <c r="E35" s="212">
        <v>-0.43887310906839216</v>
      </c>
      <c r="F35" s="212">
        <v>-0.29258207271226144</v>
      </c>
      <c r="G35" s="212">
        <v>-0.58516414542452289</v>
      </c>
      <c r="H35" s="212">
        <v>-0.58516414542452289</v>
      </c>
      <c r="I35" s="212">
        <v>-0.87774621813678433</v>
      </c>
      <c r="J35" s="212">
        <v>-0.87774621813678433</v>
      </c>
      <c r="K35" s="212">
        <v>-0.43887310906839216</v>
      </c>
      <c r="L35" s="212">
        <v>-0.87774621813678433</v>
      </c>
      <c r="M35" s="212">
        <v>-0.14629103635613072</v>
      </c>
      <c r="N35" s="212">
        <v>-0.43887310906839216</v>
      </c>
      <c r="O35" s="226">
        <v>-6.5830966360258838</v>
      </c>
    </row>
    <row r="36" spans="1:15" ht="13" x14ac:dyDescent="0.3">
      <c r="A36" s="223"/>
      <c r="B36" s="224" t="s">
        <v>27</v>
      </c>
      <c r="C36" s="225">
        <v>-7.8695381053008457</v>
      </c>
      <c r="D36" s="212">
        <v>-5.9021535789756321</v>
      </c>
      <c r="E36" s="212">
        <v>-5.9021535789756321</v>
      </c>
      <c r="F36" s="212">
        <v>-3.9347690526504229</v>
      </c>
      <c r="G36" s="212">
        <v>-7.8695381053008457</v>
      </c>
      <c r="H36" s="212">
        <v>-7.8695381053008457</v>
      </c>
      <c r="I36" s="212">
        <v>-11.804307157951264</v>
      </c>
      <c r="J36" s="212">
        <v>-11.804307157951264</v>
      </c>
      <c r="K36" s="212">
        <v>-5.9021535789756321</v>
      </c>
      <c r="L36" s="212">
        <v>-11.804307157951264</v>
      </c>
      <c r="M36" s="212">
        <v>-1.9673845263252114</v>
      </c>
      <c r="N36" s="212">
        <v>-5.9021535789756321</v>
      </c>
      <c r="O36" s="226">
        <v>-88.532303684634499</v>
      </c>
    </row>
    <row r="37" spans="1:15" x14ac:dyDescent="0.25">
      <c r="A37" s="223"/>
      <c r="B37" s="224" t="s">
        <v>50</v>
      </c>
      <c r="C37" s="227">
        <v>33.223527095640542</v>
      </c>
      <c r="D37" s="83">
        <v>24.917645321730404</v>
      </c>
      <c r="E37" s="83">
        <v>24.917645321730404</v>
      </c>
      <c r="F37" s="83">
        <v>16.611763547820271</v>
      </c>
      <c r="G37" s="83">
        <v>33.223527095640542</v>
      </c>
      <c r="H37" s="83">
        <v>33.223527095640542</v>
      </c>
      <c r="I37" s="83">
        <v>49.835290643460809</v>
      </c>
      <c r="J37" s="83">
        <v>49.835290643460809</v>
      </c>
      <c r="K37" s="83">
        <v>24.917645321730404</v>
      </c>
      <c r="L37" s="83">
        <v>49.835290643460809</v>
      </c>
      <c r="M37" s="83">
        <v>8.3058817739101354</v>
      </c>
      <c r="N37" s="83">
        <v>24.917645321730404</v>
      </c>
      <c r="O37" s="228">
        <v>373.76467982595602</v>
      </c>
    </row>
    <row r="38" spans="1:15" x14ac:dyDescent="0.25">
      <c r="A38" s="223"/>
      <c r="B38" s="224" t="s">
        <v>90</v>
      </c>
      <c r="C38" s="227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228">
        <v>0</v>
      </c>
    </row>
    <row r="39" spans="1:15" x14ac:dyDescent="0.25">
      <c r="A39" s="223"/>
      <c r="B39" s="224" t="s">
        <v>92</v>
      </c>
      <c r="C39" s="227">
        <v>0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228">
        <v>0</v>
      </c>
    </row>
    <row r="40" spans="1:15" x14ac:dyDescent="0.25">
      <c r="A40" s="213" t="s">
        <v>19</v>
      </c>
      <c r="B40" s="213" t="s">
        <v>71</v>
      </c>
      <c r="C40" s="220">
        <v>421.51123845616854</v>
      </c>
      <c r="D40" s="221">
        <v>421.51123845616854</v>
      </c>
      <c r="E40" s="221">
        <v>415.0264501722275</v>
      </c>
      <c r="F40" s="221">
        <v>421.51123845616854</v>
      </c>
      <c r="G40" s="221">
        <v>330.72420248099377</v>
      </c>
      <c r="H40" s="221">
        <v>382.60250875252223</v>
      </c>
      <c r="I40" s="221">
        <v>434.48081502405068</v>
      </c>
      <c r="J40" s="221">
        <v>453.93517987587381</v>
      </c>
      <c r="K40" s="221">
        <v>466.90475644375596</v>
      </c>
      <c r="L40" s="221">
        <v>473.389544727697</v>
      </c>
      <c r="M40" s="221">
        <v>466.90475644375596</v>
      </c>
      <c r="N40" s="221">
        <v>421.51123845616854</v>
      </c>
      <c r="O40" s="222">
        <v>5110.013167745552</v>
      </c>
    </row>
    <row r="41" spans="1:15" ht="13" x14ac:dyDescent="0.3">
      <c r="A41" s="223"/>
      <c r="B41" s="224" t="s">
        <v>25</v>
      </c>
      <c r="C41" s="225">
        <v>-118.37107684799031</v>
      </c>
      <c r="D41" s="212">
        <v>-118.37107684799031</v>
      </c>
      <c r="E41" s="212">
        <v>-116.54998335802117</v>
      </c>
      <c r="F41" s="212">
        <v>-118.37107684799031</v>
      </c>
      <c r="G41" s="212">
        <v>-92.875767988423149</v>
      </c>
      <c r="H41" s="212">
        <v>-107.44451590817579</v>
      </c>
      <c r="I41" s="212">
        <v>-122.01326382792843</v>
      </c>
      <c r="J41" s="212">
        <v>-127.47654429783563</v>
      </c>
      <c r="K41" s="212">
        <v>-131.11873127777375</v>
      </c>
      <c r="L41" s="212">
        <v>-132.93982476774289</v>
      </c>
      <c r="M41" s="212">
        <v>-131.11873127777375</v>
      </c>
      <c r="N41" s="212">
        <v>-118.37107684799031</v>
      </c>
      <c r="O41" s="226">
        <v>-1435.021670095636</v>
      </c>
    </row>
    <row r="42" spans="1:15" ht="13" x14ac:dyDescent="0.3">
      <c r="A42" s="223"/>
      <c r="B42" s="224" t="s">
        <v>26</v>
      </c>
      <c r="C42" s="225">
        <v>-9.5089173631484982</v>
      </c>
      <c r="D42" s="212">
        <v>-9.5089173631484982</v>
      </c>
      <c r="E42" s="212">
        <v>-9.3626263267923662</v>
      </c>
      <c r="F42" s="212">
        <v>-9.5089173631484982</v>
      </c>
      <c r="G42" s="212">
        <v>-7.4608428541626663</v>
      </c>
      <c r="H42" s="212">
        <v>-8.631171145011713</v>
      </c>
      <c r="I42" s="212">
        <v>-9.8014994358607588</v>
      </c>
      <c r="J42" s="212">
        <v>-10.240372544929151</v>
      </c>
      <c r="K42" s="212">
        <v>-10.532954617641414</v>
      </c>
      <c r="L42" s="212">
        <v>-10.679245653997542</v>
      </c>
      <c r="M42" s="212">
        <v>-10.532954617641414</v>
      </c>
      <c r="N42" s="212">
        <v>-9.5089173631484982</v>
      </c>
      <c r="O42" s="226">
        <v>-115.27733664863099</v>
      </c>
    </row>
    <row r="43" spans="1:15" ht="13" x14ac:dyDescent="0.3">
      <c r="A43" s="223"/>
      <c r="B43" s="224" t="s">
        <v>27</v>
      </c>
      <c r="C43" s="225">
        <v>-127.87999421113881</v>
      </c>
      <c r="D43" s="212">
        <v>-127.87999421113881</v>
      </c>
      <c r="E43" s="212">
        <v>-125.91260968481353</v>
      </c>
      <c r="F43" s="212">
        <v>-127.87999421113881</v>
      </c>
      <c r="G43" s="212">
        <v>-100.33661084258581</v>
      </c>
      <c r="H43" s="212">
        <v>-116.07568705318749</v>
      </c>
      <c r="I43" s="212">
        <v>-131.81476326378919</v>
      </c>
      <c r="J43" s="212">
        <v>-137.71691684276479</v>
      </c>
      <c r="K43" s="212">
        <v>-141.65168589541517</v>
      </c>
      <c r="L43" s="212">
        <v>-143.61907042174045</v>
      </c>
      <c r="M43" s="212">
        <v>-141.65168589541517</v>
      </c>
      <c r="N43" s="212">
        <v>-127.87999421113881</v>
      </c>
      <c r="O43" s="226">
        <v>-1550.2990067442668</v>
      </c>
    </row>
    <row r="44" spans="1:15" x14ac:dyDescent="0.25">
      <c r="A44" s="223"/>
      <c r="B44" s="224" t="s">
        <v>50</v>
      </c>
      <c r="C44" s="227">
        <v>539.88231530415885</v>
      </c>
      <c r="D44" s="83">
        <v>539.88231530415885</v>
      </c>
      <c r="E44" s="83">
        <v>531.57643353024866</v>
      </c>
      <c r="F44" s="83">
        <v>539.88231530415885</v>
      </c>
      <c r="G44" s="83">
        <v>423.59997046941692</v>
      </c>
      <c r="H44" s="83">
        <v>490.04702466069801</v>
      </c>
      <c r="I44" s="83">
        <v>556.49407885197911</v>
      </c>
      <c r="J44" s="83">
        <v>581.41172417370944</v>
      </c>
      <c r="K44" s="83">
        <v>598.0234877215297</v>
      </c>
      <c r="L44" s="83">
        <v>606.32936949543989</v>
      </c>
      <c r="M44" s="83">
        <v>598.0234877215297</v>
      </c>
      <c r="N44" s="83">
        <v>539.88231530415885</v>
      </c>
      <c r="O44" s="228">
        <v>6545.0348378411863</v>
      </c>
    </row>
    <row r="45" spans="1:15" x14ac:dyDescent="0.25">
      <c r="A45" s="223"/>
      <c r="B45" s="224" t="s">
        <v>90</v>
      </c>
      <c r="C45" s="227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228">
        <v>0</v>
      </c>
    </row>
    <row r="46" spans="1:15" x14ac:dyDescent="0.25">
      <c r="A46" s="223"/>
      <c r="B46" s="224" t="s">
        <v>92</v>
      </c>
      <c r="C46" s="227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228">
        <v>0</v>
      </c>
    </row>
    <row r="47" spans="1:15" x14ac:dyDescent="0.25">
      <c r="A47" s="213" t="s">
        <v>8</v>
      </c>
      <c r="B47" s="213" t="s">
        <v>71</v>
      </c>
      <c r="C47" s="220">
        <v>609.57009869045919</v>
      </c>
      <c r="D47" s="221">
        <v>402.05687360434541</v>
      </c>
      <c r="E47" s="221">
        <v>389.08729703646327</v>
      </c>
      <c r="F47" s="221">
        <v>596.60052212257699</v>
      </c>
      <c r="G47" s="221">
        <v>765.20501750504445</v>
      </c>
      <c r="H47" s="221">
        <v>927.32472460357087</v>
      </c>
      <c r="I47" s="221">
        <v>979.20303087509922</v>
      </c>
      <c r="J47" s="221">
        <v>1018.1117605787456</v>
      </c>
      <c r="K47" s="221">
        <v>946.779089455394</v>
      </c>
      <c r="L47" s="221">
        <v>752.23544093716237</v>
      </c>
      <c r="M47" s="221">
        <v>402.05687360434541</v>
      </c>
      <c r="N47" s="221">
        <v>499.32869786346123</v>
      </c>
      <c r="O47" s="222">
        <v>8287.5594268766672</v>
      </c>
    </row>
    <row r="48" spans="1:15" ht="13" x14ac:dyDescent="0.3">
      <c r="A48" s="223"/>
      <c r="B48" s="224" t="s">
        <v>25</v>
      </c>
      <c r="C48" s="225">
        <v>-171.18278805709349</v>
      </c>
      <c r="D48" s="212">
        <v>-112.90779637808299</v>
      </c>
      <c r="E48" s="212">
        <v>-109.26560939814487</v>
      </c>
      <c r="F48" s="212">
        <v>-167.54060107715543</v>
      </c>
      <c r="G48" s="212">
        <v>-214.88903181635158</v>
      </c>
      <c r="H48" s="212">
        <v>-260.41636906557858</v>
      </c>
      <c r="I48" s="212">
        <v>-274.98511698533127</v>
      </c>
      <c r="J48" s="212">
        <v>-285.91167792514557</v>
      </c>
      <c r="K48" s="212">
        <v>-265.87964953548578</v>
      </c>
      <c r="L48" s="212">
        <v>-211.24684483641329</v>
      </c>
      <c r="M48" s="212">
        <v>-112.90779637808299</v>
      </c>
      <c r="N48" s="212">
        <v>-140.22419872761918</v>
      </c>
      <c r="O48" s="226">
        <v>-2327.3574801804848</v>
      </c>
    </row>
    <row r="49" spans="1:15" ht="13" x14ac:dyDescent="0.3">
      <c r="A49" s="223"/>
      <c r="B49" s="224" t="s">
        <v>26</v>
      </c>
      <c r="C49" s="225">
        <v>-13.751357417476289</v>
      </c>
      <c r="D49" s="212">
        <v>-9.0700442540801038</v>
      </c>
      <c r="E49" s="212">
        <v>-8.7774621813678433</v>
      </c>
      <c r="F49" s="212">
        <v>-13.458775344764026</v>
      </c>
      <c r="G49" s="212">
        <v>-17.262342290023426</v>
      </c>
      <c r="H49" s="212">
        <v>-20.919618198926692</v>
      </c>
      <c r="I49" s="212">
        <v>-22.089946489775741</v>
      </c>
      <c r="J49" s="212">
        <v>-22.967692707912523</v>
      </c>
      <c r="K49" s="212">
        <v>-21.358491307995084</v>
      </c>
      <c r="L49" s="212">
        <v>-16.969760217311162</v>
      </c>
      <c r="M49" s="212">
        <v>-9.0700442540801038</v>
      </c>
      <c r="N49" s="212">
        <v>-11.264409799422065</v>
      </c>
      <c r="O49" s="226">
        <v>-186.95994446313506</v>
      </c>
    </row>
    <row r="50" spans="1:15" ht="13" x14ac:dyDescent="0.3">
      <c r="A50" s="223"/>
      <c r="B50" s="224" t="s">
        <v>27</v>
      </c>
      <c r="C50" s="225">
        <v>-184.93414547456979</v>
      </c>
      <c r="D50" s="212">
        <v>-121.97784063216309</v>
      </c>
      <c r="E50" s="212">
        <v>-118.04307157951271</v>
      </c>
      <c r="F50" s="212">
        <v>-180.99937642191946</v>
      </c>
      <c r="G50" s="212">
        <v>-232.15137410637499</v>
      </c>
      <c r="H50" s="212">
        <v>-281.33598726450526</v>
      </c>
      <c r="I50" s="212">
        <v>-297.07506347510702</v>
      </c>
      <c r="J50" s="212">
        <v>-308.8793706330581</v>
      </c>
      <c r="K50" s="212">
        <v>-287.23814084348089</v>
      </c>
      <c r="L50" s="212">
        <v>-228.21660505372444</v>
      </c>
      <c r="M50" s="212">
        <v>-121.97784063216309</v>
      </c>
      <c r="N50" s="212">
        <v>-151.48860852704124</v>
      </c>
      <c r="O50" s="226">
        <v>-2514.3174246436201</v>
      </c>
    </row>
    <row r="51" spans="1:15" x14ac:dyDescent="0.25">
      <c r="A51" s="223"/>
      <c r="B51" s="224" t="s">
        <v>50</v>
      </c>
      <c r="C51" s="227">
        <v>780.75288674755268</v>
      </c>
      <c r="D51" s="83">
        <v>514.9646699824284</v>
      </c>
      <c r="E51" s="83">
        <v>498.35290643460814</v>
      </c>
      <c r="F51" s="83">
        <v>764.14112319973242</v>
      </c>
      <c r="G51" s="83">
        <v>980.09404932139603</v>
      </c>
      <c r="H51" s="83">
        <v>1187.7410936691494</v>
      </c>
      <c r="I51" s="83">
        <v>1254.1881478604305</v>
      </c>
      <c r="J51" s="83">
        <v>1304.0234385038912</v>
      </c>
      <c r="K51" s="83">
        <v>1212.6587389908798</v>
      </c>
      <c r="L51" s="83">
        <v>963.48228577357565</v>
      </c>
      <c r="M51" s="83">
        <v>514.9646699824284</v>
      </c>
      <c r="N51" s="83">
        <v>639.55289659108041</v>
      </c>
      <c r="O51" s="228">
        <v>10614.916907057152</v>
      </c>
    </row>
    <row r="52" spans="1:15" x14ac:dyDescent="0.25">
      <c r="A52" s="223"/>
      <c r="B52" s="224" t="s">
        <v>90</v>
      </c>
      <c r="C52" s="227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228">
        <v>0</v>
      </c>
    </row>
    <row r="53" spans="1:15" x14ac:dyDescent="0.25">
      <c r="A53" s="223"/>
      <c r="B53" s="224" t="s">
        <v>92</v>
      </c>
      <c r="C53" s="227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228">
        <v>0</v>
      </c>
    </row>
    <row r="54" spans="1:15" x14ac:dyDescent="0.25">
      <c r="A54" s="213" t="s">
        <v>21</v>
      </c>
      <c r="B54" s="213" t="s">
        <v>71</v>
      </c>
      <c r="C54" s="220">
        <v>21088.53149937631</v>
      </c>
      <c r="D54" s="221">
        <v>15161.435007854187</v>
      </c>
      <c r="E54" s="221">
        <v>14370.290837213377</v>
      </c>
      <c r="F54" s="221">
        <v>18008.257064504309</v>
      </c>
      <c r="G54" s="221">
        <v>21043.137981388722</v>
      </c>
      <c r="H54" s="221">
        <v>26457.936198479503</v>
      </c>
      <c r="I54" s="221">
        <v>26905.386590071437</v>
      </c>
      <c r="J54" s="221">
        <v>26918.356166639318</v>
      </c>
      <c r="K54" s="221">
        <v>25024.797987728529</v>
      </c>
      <c r="L54" s="221">
        <v>22236.339025633875</v>
      </c>
      <c r="M54" s="221">
        <v>14396.229990349142</v>
      </c>
      <c r="N54" s="221">
        <v>16659.421101444568</v>
      </c>
      <c r="O54" s="222">
        <v>248270.11945068327</v>
      </c>
    </row>
    <row r="55" spans="1:15" ht="13" x14ac:dyDescent="0.3">
      <c r="A55" s="223"/>
      <c r="B55" s="224" t="s">
        <v>25</v>
      </c>
      <c r="C55" s="225">
        <v>-5922.1960293794509</v>
      </c>
      <c r="D55" s="212">
        <v>-4257.7165795477085</v>
      </c>
      <c r="E55" s="212">
        <v>-4035.5431737714844</v>
      </c>
      <c r="F55" s="212">
        <v>-5057.1766216441356</v>
      </c>
      <c r="G55" s="212">
        <v>-5909.4483749496685</v>
      </c>
      <c r="H55" s="212">
        <v>-7430.0614390738483</v>
      </c>
      <c r="I55" s="212">
        <v>-7555.7168898817108</v>
      </c>
      <c r="J55" s="212">
        <v>-7559.3590768616523</v>
      </c>
      <c r="K55" s="212">
        <v>-7027.599777790685</v>
      </c>
      <c r="L55" s="212">
        <v>-6244.5295771039782</v>
      </c>
      <c r="M55" s="212">
        <v>-4042.82754773136</v>
      </c>
      <c r="N55" s="212">
        <v>-4678.3891757305682</v>
      </c>
      <c r="O55" s="226">
        <v>-69720.564263466265</v>
      </c>
    </row>
    <row r="56" spans="1:15" ht="13" x14ac:dyDescent="0.3">
      <c r="A56" s="223"/>
      <c r="B56" s="224" t="s">
        <v>26</v>
      </c>
      <c r="C56" s="225">
        <v>-475.73845023013712</v>
      </c>
      <c r="D56" s="212">
        <v>-342.02844300063367</v>
      </c>
      <c r="E56" s="212">
        <v>-324.18093656518568</v>
      </c>
      <c r="F56" s="212">
        <v>-406.25020796097505</v>
      </c>
      <c r="G56" s="212">
        <v>-474.71441297564417</v>
      </c>
      <c r="H56" s="212">
        <v>-596.86742833301332</v>
      </c>
      <c r="I56" s="212">
        <v>-606.96150984158635</v>
      </c>
      <c r="J56" s="212">
        <v>-607.25409191429867</v>
      </c>
      <c r="K56" s="212">
        <v>-564.53710929830845</v>
      </c>
      <c r="L56" s="212">
        <v>-501.63196366517229</v>
      </c>
      <c r="M56" s="212">
        <v>-324.7661007106102</v>
      </c>
      <c r="N56" s="212">
        <v>-375.82167239889981</v>
      </c>
      <c r="O56" s="226">
        <v>-5600.7523268944642</v>
      </c>
    </row>
    <row r="57" spans="1:15" ht="13" x14ac:dyDescent="0.3">
      <c r="A57" s="223"/>
      <c r="B57" s="224" t="s">
        <v>27</v>
      </c>
      <c r="C57" s="225">
        <v>-6397.9344796095884</v>
      </c>
      <c r="D57" s="212">
        <v>-4599.7450225483426</v>
      </c>
      <c r="E57" s="212">
        <v>-4359.7241103366705</v>
      </c>
      <c r="F57" s="212">
        <v>-5463.4268296051105</v>
      </c>
      <c r="G57" s="212">
        <v>-6384.1627879253128</v>
      </c>
      <c r="H57" s="212">
        <v>-8026.9288674068612</v>
      </c>
      <c r="I57" s="212">
        <v>-8162.6783997232969</v>
      </c>
      <c r="J57" s="212">
        <v>-8166.6131687759507</v>
      </c>
      <c r="K57" s="212">
        <v>-7592.1368870889937</v>
      </c>
      <c r="L57" s="212">
        <v>-6746.1615407691506</v>
      </c>
      <c r="M57" s="212">
        <v>-4367.5936484419699</v>
      </c>
      <c r="N57" s="212">
        <v>-5054.2108481294681</v>
      </c>
      <c r="O57" s="226">
        <v>-75321.316590360715</v>
      </c>
    </row>
    <row r="58" spans="1:15" x14ac:dyDescent="0.25">
      <c r="A58" s="223"/>
      <c r="B58" s="224" t="s">
        <v>50</v>
      </c>
      <c r="C58" s="227">
        <v>27010.72752875576</v>
      </c>
      <c r="D58" s="83">
        <v>19419.151587401895</v>
      </c>
      <c r="E58" s="83">
        <v>18405.834010984861</v>
      </c>
      <c r="F58" s="83">
        <v>23065.433686148444</v>
      </c>
      <c r="G58" s="83">
        <v>26952.58635633839</v>
      </c>
      <c r="H58" s="83">
        <v>33887.997637553352</v>
      </c>
      <c r="I58" s="83">
        <v>34461.103479953148</v>
      </c>
      <c r="J58" s="83">
        <v>34477.71524350097</v>
      </c>
      <c r="K58" s="83">
        <v>32052.397765519214</v>
      </c>
      <c r="L58" s="83">
        <v>28480.868602737854</v>
      </c>
      <c r="M58" s="83">
        <v>18439.057538080502</v>
      </c>
      <c r="N58" s="83">
        <v>21337.810277175136</v>
      </c>
      <c r="O58" s="228">
        <v>317990.68371414958</v>
      </c>
    </row>
    <row r="59" spans="1:15" x14ac:dyDescent="0.25">
      <c r="A59" s="223"/>
      <c r="B59" s="224" t="s">
        <v>90</v>
      </c>
      <c r="C59" s="227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228">
        <v>0</v>
      </c>
    </row>
    <row r="60" spans="1:15" x14ac:dyDescent="0.25">
      <c r="A60" s="223"/>
      <c r="B60" s="224" t="s">
        <v>92</v>
      </c>
      <c r="C60" s="227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228">
        <v>0</v>
      </c>
    </row>
    <row r="61" spans="1:15" x14ac:dyDescent="0.25">
      <c r="A61" s="213" t="s">
        <v>22</v>
      </c>
      <c r="B61" s="213" t="s">
        <v>71</v>
      </c>
      <c r="C61" s="220">
        <v>21438.710066709125</v>
      </c>
      <c r="D61" s="221">
        <v>16931.782209370092</v>
      </c>
      <c r="E61" s="221">
        <v>14927.982629632308</v>
      </c>
      <c r="F61" s="221">
        <v>16121.183673877462</v>
      </c>
      <c r="G61" s="221">
        <v>19259.821203304931</v>
      </c>
      <c r="H61" s="221">
        <v>22586.517592966695</v>
      </c>
      <c r="I61" s="221">
        <v>22761.606876633101</v>
      </c>
      <c r="J61" s="221">
        <v>23176.633326805328</v>
      </c>
      <c r="K61" s="221">
        <v>20673.505049204083</v>
      </c>
      <c r="L61" s="221">
        <v>18112.013677047365</v>
      </c>
      <c r="M61" s="221">
        <v>15167.919796138127</v>
      </c>
      <c r="N61" s="221">
        <v>16341.666475531458</v>
      </c>
      <c r="O61" s="222">
        <v>227499.34257722006</v>
      </c>
    </row>
    <row r="62" spans="1:15" ht="13" x14ac:dyDescent="0.3">
      <c r="A62" s="223"/>
      <c r="B62" s="224" t="s">
        <v>25</v>
      </c>
      <c r="C62" s="225">
        <v>-6020.5350778377833</v>
      </c>
      <c r="D62" s="212">
        <v>-4754.87510230927</v>
      </c>
      <c r="E62" s="212">
        <v>-4192.1572139088239</v>
      </c>
      <c r="F62" s="212">
        <v>-4527.2384160631336</v>
      </c>
      <c r="G62" s="212">
        <v>-5408.6476652081692</v>
      </c>
      <c r="H62" s="212">
        <v>-6342.868625562307</v>
      </c>
      <c r="I62" s="212">
        <v>-6392.038149791475</v>
      </c>
      <c r="J62" s="212">
        <v>-6508.5881331494966</v>
      </c>
      <c r="K62" s="212">
        <v>-5805.6460460214294</v>
      </c>
      <c r="L62" s="212">
        <v>-5086.3141174836419</v>
      </c>
      <c r="M62" s="212">
        <v>-4259.5376730376793</v>
      </c>
      <c r="N62" s="212">
        <v>-4589.1555947220822</v>
      </c>
      <c r="O62" s="226">
        <v>-63887.601815095295</v>
      </c>
    </row>
    <row r="63" spans="1:15" ht="13" x14ac:dyDescent="0.3">
      <c r="A63" s="223"/>
      <c r="B63" s="224" t="s">
        <v>26</v>
      </c>
      <c r="C63" s="225">
        <v>-483.63816619336825</v>
      </c>
      <c r="D63" s="212">
        <v>-381.9658959258573</v>
      </c>
      <c r="E63" s="212">
        <v>-336.76196569181292</v>
      </c>
      <c r="F63" s="212">
        <v>-363.67951638134099</v>
      </c>
      <c r="G63" s="212">
        <v>-434.48437797770828</v>
      </c>
      <c r="H63" s="212">
        <v>-509.53167962840331</v>
      </c>
      <c r="I63" s="212">
        <v>-513.48153761001879</v>
      </c>
      <c r="J63" s="212">
        <v>-522.84416393681124</v>
      </c>
      <c r="K63" s="212">
        <v>-466.37582390334472</v>
      </c>
      <c r="L63" s="212">
        <v>-408.59086454267316</v>
      </c>
      <c r="M63" s="212">
        <v>-342.17473403698978</v>
      </c>
      <c r="N63" s="212">
        <v>-368.65341161744942</v>
      </c>
      <c r="O63" s="226">
        <v>-5132.1821374457777</v>
      </c>
    </row>
    <row r="64" spans="1:15" ht="13" x14ac:dyDescent="0.3">
      <c r="A64" s="223"/>
      <c r="B64" s="224" t="s">
        <v>27</v>
      </c>
      <c r="C64" s="225">
        <v>-6504.1732440311516</v>
      </c>
      <c r="D64" s="212">
        <v>-5136.8409982351277</v>
      </c>
      <c r="E64" s="212">
        <v>-4528.9191796006371</v>
      </c>
      <c r="F64" s="212">
        <v>-4890.9179324444749</v>
      </c>
      <c r="G64" s="212">
        <v>-5843.1320431858776</v>
      </c>
      <c r="H64" s="212">
        <v>-6852.4003051907102</v>
      </c>
      <c r="I64" s="212">
        <v>-6905.5196874014937</v>
      </c>
      <c r="J64" s="212">
        <v>-7031.4322970863077</v>
      </c>
      <c r="K64" s="212">
        <v>-6272.0218699247744</v>
      </c>
      <c r="L64" s="212">
        <v>-5494.9049820263153</v>
      </c>
      <c r="M64" s="212">
        <v>-4601.7124070746686</v>
      </c>
      <c r="N64" s="212">
        <v>-4957.8090063395321</v>
      </c>
      <c r="O64" s="226">
        <v>-69019.783952541067</v>
      </c>
    </row>
    <row r="65" spans="1:15" x14ac:dyDescent="0.25">
      <c r="A65" s="223"/>
      <c r="B65" s="224" t="s">
        <v>50</v>
      </c>
      <c r="C65" s="227">
        <v>27459.245144546909</v>
      </c>
      <c r="D65" s="83">
        <v>21686.657311679362</v>
      </c>
      <c r="E65" s="83">
        <v>19120.139843541132</v>
      </c>
      <c r="F65" s="83">
        <v>20648.422089940595</v>
      </c>
      <c r="G65" s="83">
        <v>24668.4688685131</v>
      </c>
      <c r="H65" s="83">
        <v>28929.386218529002</v>
      </c>
      <c r="I65" s="83">
        <v>29153.645026424576</v>
      </c>
      <c r="J65" s="83">
        <v>29685.221459954824</v>
      </c>
      <c r="K65" s="83">
        <v>26479.151095225512</v>
      </c>
      <c r="L65" s="83">
        <v>23198.327794531007</v>
      </c>
      <c r="M65" s="83">
        <v>19427.457469175806</v>
      </c>
      <c r="N65" s="83">
        <v>20930.82207025354</v>
      </c>
      <c r="O65" s="228">
        <v>291386.9443923154</v>
      </c>
    </row>
    <row r="66" spans="1:15" x14ac:dyDescent="0.25">
      <c r="A66" s="223"/>
      <c r="B66" s="224" t="s">
        <v>90</v>
      </c>
      <c r="C66" s="227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228">
        <v>0</v>
      </c>
    </row>
    <row r="67" spans="1:15" x14ac:dyDescent="0.25">
      <c r="A67" s="223"/>
      <c r="B67" s="224" t="s">
        <v>92</v>
      </c>
      <c r="C67" s="227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228">
        <v>0</v>
      </c>
    </row>
    <row r="68" spans="1:15" x14ac:dyDescent="0.25">
      <c r="A68" s="213" t="s">
        <v>9</v>
      </c>
      <c r="B68" s="213" t="s">
        <v>71</v>
      </c>
      <c r="C68" s="220">
        <v>486.35912129557909</v>
      </c>
      <c r="D68" s="221">
        <v>350.17856733281695</v>
      </c>
      <c r="E68" s="221">
        <v>317.75462591311168</v>
      </c>
      <c r="F68" s="221">
        <v>278.84589620946537</v>
      </c>
      <c r="G68" s="221">
        <v>324.23941419705272</v>
      </c>
      <c r="H68" s="221">
        <v>382.60250875252223</v>
      </c>
      <c r="I68" s="221">
        <v>389.08729703646327</v>
      </c>
      <c r="J68" s="221">
        <v>363.14814390069904</v>
      </c>
      <c r="K68" s="221">
        <v>356.663355616758</v>
      </c>
      <c r="L68" s="221">
        <v>330.72420248099377</v>
      </c>
      <c r="M68" s="221">
        <v>259.39153135764218</v>
      </c>
      <c r="N68" s="221">
        <v>330.72420248099377</v>
      </c>
      <c r="O68" s="222">
        <v>4169.7188665740978</v>
      </c>
    </row>
    <row r="69" spans="1:15" ht="13" x14ac:dyDescent="0.3">
      <c r="A69" s="223"/>
      <c r="B69" s="224" t="s">
        <v>25</v>
      </c>
      <c r="C69" s="225">
        <v>-136.58201174768107</v>
      </c>
      <c r="D69" s="212">
        <v>-98.339048458330353</v>
      </c>
      <c r="E69" s="212">
        <v>-89.233581008484975</v>
      </c>
      <c r="F69" s="212">
        <v>-78.307020068670454</v>
      </c>
      <c r="G69" s="212">
        <v>-91.054674498454062</v>
      </c>
      <c r="H69" s="212">
        <v>-107.44451590817579</v>
      </c>
      <c r="I69" s="212">
        <v>-109.26560939814487</v>
      </c>
      <c r="J69" s="212">
        <v>-101.98123543826853</v>
      </c>
      <c r="K69" s="212">
        <v>-100.16014194829944</v>
      </c>
      <c r="L69" s="212">
        <v>-92.875767988423149</v>
      </c>
      <c r="M69" s="212">
        <v>-72.84373959876325</v>
      </c>
      <c r="N69" s="212">
        <v>-92.875767988423149</v>
      </c>
      <c r="O69" s="226">
        <v>-1170.9631140501192</v>
      </c>
    </row>
    <row r="70" spans="1:15" ht="13" x14ac:dyDescent="0.3">
      <c r="A70" s="223"/>
      <c r="B70" s="224" t="s">
        <v>26</v>
      </c>
      <c r="C70" s="225">
        <v>-10.971827726709805</v>
      </c>
      <c r="D70" s="212">
        <v>-7.8997159632310598</v>
      </c>
      <c r="E70" s="212">
        <v>-7.1682607814504058</v>
      </c>
      <c r="F70" s="212">
        <v>-6.2905145633136215</v>
      </c>
      <c r="G70" s="212">
        <v>-7.314551817806537</v>
      </c>
      <c r="H70" s="212">
        <v>-8.631171145011713</v>
      </c>
      <c r="I70" s="212">
        <v>-8.7774621813678433</v>
      </c>
      <c r="J70" s="212">
        <v>-8.1922980359433204</v>
      </c>
      <c r="K70" s="212">
        <v>-8.0460069995871901</v>
      </c>
      <c r="L70" s="212">
        <v>-7.4608428541626663</v>
      </c>
      <c r="M70" s="212">
        <v>-5.8516414542452297</v>
      </c>
      <c r="N70" s="212">
        <v>-7.4608428541626663</v>
      </c>
      <c r="O70" s="226">
        <v>-94.065136376992058</v>
      </c>
    </row>
    <row r="71" spans="1:15" ht="13" x14ac:dyDescent="0.3">
      <c r="A71" s="223"/>
      <c r="B71" s="224" t="s">
        <v>27</v>
      </c>
      <c r="C71" s="225">
        <v>-147.55383947439088</v>
      </c>
      <c r="D71" s="212">
        <v>-106.23876442156141</v>
      </c>
      <c r="E71" s="212">
        <v>-96.401841789935375</v>
      </c>
      <c r="F71" s="212">
        <v>-84.597534631984075</v>
      </c>
      <c r="G71" s="212">
        <v>-98.369226316260594</v>
      </c>
      <c r="H71" s="212">
        <v>-116.07568705318749</v>
      </c>
      <c r="I71" s="212">
        <v>-118.04307157951271</v>
      </c>
      <c r="J71" s="212">
        <v>-110.17353347421185</v>
      </c>
      <c r="K71" s="212">
        <v>-108.20614894788663</v>
      </c>
      <c r="L71" s="212">
        <v>-100.33661084258581</v>
      </c>
      <c r="M71" s="212">
        <v>-78.695381053008475</v>
      </c>
      <c r="N71" s="212">
        <v>-100.33661084258581</v>
      </c>
      <c r="O71" s="226">
        <v>-1265.0282504271111</v>
      </c>
    </row>
    <row r="72" spans="1:15" x14ac:dyDescent="0.25">
      <c r="A72" s="223"/>
      <c r="B72" s="224" t="s">
        <v>50</v>
      </c>
      <c r="C72" s="227">
        <v>622.94113304326015</v>
      </c>
      <c r="D72" s="83">
        <v>448.51761579114731</v>
      </c>
      <c r="E72" s="83">
        <v>406.98820692159666</v>
      </c>
      <c r="F72" s="83">
        <v>357.15291627813582</v>
      </c>
      <c r="G72" s="83">
        <v>415.29408869550679</v>
      </c>
      <c r="H72" s="83">
        <v>490.04702466069801</v>
      </c>
      <c r="I72" s="83">
        <v>498.35290643460814</v>
      </c>
      <c r="J72" s="83">
        <v>465.12937933896757</v>
      </c>
      <c r="K72" s="83">
        <v>456.82349756505744</v>
      </c>
      <c r="L72" s="83">
        <v>423.59997046941692</v>
      </c>
      <c r="M72" s="83">
        <v>332.23527095640543</v>
      </c>
      <c r="N72" s="83">
        <v>423.59997046941692</v>
      </c>
      <c r="O72" s="228">
        <v>5340.6819806242165</v>
      </c>
    </row>
    <row r="73" spans="1:15" x14ac:dyDescent="0.25">
      <c r="A73" s="223"/>
      <c r="B73" s="224" t="s">
        <v>90</v>
      </c>
      <c r="C73" s="227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228">
        <v>0</v>
      </c>
    </row>
    <row r="74" spans="1:15" x14ac:dyDescent="0.25">
      <c r="A74" s="223"/>
      <c r="B74" s="224" t="s">
        <v>92</v>
      </c>
      <c r="C74" s="227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228">
        <v>0</v>
      </c>
    </row>
    <row r="75" spans="1:15" x14ac:dyDescent="0.25">
      <c r="A75" s="213" t="s">
        <v>55</v>
      </c>
      <c r="B75" s="213" t="s">
        <v>71</v>
      </c>
      <c r="C75" s="220">
        <v>940.29430117145296</v>
      </c>
      <c r="D75" s="221">
        <v>648.47882839410545</v>
      </c>
      <c r="E75" s="221">
        <v>596.60052212257699</v>
      </c>
      <c r="F75" s="221">
        <v>654.96361667804649</v>
      </c>
      <c r="G75" s="221">
        <v>765.20501750504445</v>
      </c>
      <c r="H75" s="221">
        <v>1121.8683731218025</v>
      </c>
      <c r="I75" s="221">
        <v>1063.5052785663329</v>
      </c>
      <c r="J75" s="221">
        <v>1102.4140082699794</v>
      </c>
      <c r="K75" s="221">
        <v>1011.6269722948045</v>
      </c>
      <c r="L75" s="221">
        <v>901.38557146780659</v>
      </c>
      <c r="M75" s="221">
        <v>583.6309455546949</v>
      </c>
      <c r="N75" s="221">
        <v>713.32671123351599</v>
      </c>
      <c r="O75" s="222">
        <v>10103.300146380163</v>
      </c>
    </row>
    <row r="76" spans="1:15" x14ac:dyDescent="0.25">
      <c r="A76" s="223"/>
      <c r="B76" s="224" t="s">
        <v>25</v>
      </c>
      <c r="C76" s="227">
        <v>-264.05855604551664</v>
      </c>
      <c r="D76" s="83">
        <v>-182.10934899690812</v>
      </c>
      <c r="E76" s="83">
        <v>-167.54060107715543</v>
      </c>
      <c r="F76" s="83">
        <v>-183.93044248687715</v>
      </c>
      <c r="G76" s="83">
        <v>-214.88903181635158</v>
      </c>
      <c r="H76" s="83">
        <v>-315.04917376465096</v>
      </c>
      <c r="I76" s="83">
        <v>-298.65933235492935</v>
      </c>
      <c r="J76" s="83">
        <v>-309.58589329474353</v>
      </c>
      <c r="K76" s="83">
        <v>-284.09058443517665</v>
      </c>
      <c r="L76" s="83">
        <v>-253.13199510570234</v>
      </c>
      <c r="M76" s="83">
        <v>-163.89841409721726</v>
      </c>
      <c r="N76" s="83">
        <v>-200.32028389659888</v>
      </c>
      <c r="O76" s="228">
        <v>-2837.2636573718273</v>
      </c>
    </row>
    <row r="77" spans="1:15" x14ac:dyDescent="0.25">
      <c r="A77" s="223"/>
      <c r="B77" s="224" t="s">
        <v>26</v>
      </c>
      <c r="C77" s="227">
        <v>-21.212200271638956</v>
      </c>
      <c r="D77" s="83">
        <v>-14.629103635613074</v>
      </c>
      <c r="E77" s="83">
        <v>-13.458775344764026</v>
      </c>
      <c r="F77" s="83">
        <v>-14.775394671969204</v>
      </c>
      <c r="G77" s="83">
        <v>-17.262342290023426</v>
      </c>
      <c r="H77" s="83">
        <v>-25.308349289610614</v>
      </c>
      <c r="I77" s="83">
        <v>-23.99172996240544</v>
      </c>
      <c r="J77" s="83">
        <v>-24.869476180542225</v>
      </c>
      <c r="K77" s="83">
        <v>-22.821401671556394</v>
      </c>
      <c r="L77" s="83">
        <v>-20.334454053502171</v>
      </c>
      <c r="M77" s="83">
        <v>-13.166193272051766</v>
      </c>
      <c r="N77" s="83">
        <v>-16.09201399917438</v>
      </c>
      <c r="O77" s="228">
        <v>-227.92143464285166</v>
      </c>
    </row>
    <row r="78" spans="1:15" x14ac:dyDescent="0.25">
      <c r="A78" s="223"/>
      <c r="B78" s="224" t="s">
        <v>27</v>
      </c>
      <c r="C78" s="227">
        <v>-285.27075631715559</v>
      </c>
      <c r="D78" s="83">
        <v>-196.73845263252119</v>
      </c>
      <c r="E78" s="83">
        <v>-180.99937642191946</v>
      </c>
      <c r="F78" s="83">
        <v>-198.70583715884635</v>
      </c>
      <c r="G78" s="83">
        <v>-232.15137410637499</v>
      </c>
      <c r="H78" s="83">
        <v>-340.35752305426155</v>
      </c>
      <c r="I78" s="83">
        <v>-322.65106231733478</v>
      </c>
      <c r="J78" s="83">
        <v>-334.45536947528575</v>
      </c>
      <c r="K78" s="83">
        <v>-306.91198610673302</v>
      </c>
      <c r="L78" s="83">
        <v>-273.4664491592045</v>
      </c>
      <c r="M78" s="83">
        <v>-177.06460736926903</v>
      </c>
      <c r="N78" s="83">
        <v>-216.41229789577326</v>
      </c>
      <c r="O78" s="228">
        <v>-3065.1850920146794</v>
      </c>
    </row>
    <row r="79" spans="1:15" x14ac:dyDescent="0.25">
      <c r="A79" s="223"/>
      <c r="B79" s="224" t="s">
        <v>50</v>
      </c>
      <c r="C79" s="227">
        <v>1204.3528572169696</v>
      </c>
      <c r="D79" s="83">
        <v>830.58817739101357</v>
      </c>
      <c r="E79" s="83">
        <v>764.14112319973242</v>
      </c>
      <c r="F79" s="83">
        <v>838.89405916492365</v>
      </c>
      <c r="G79" s="83">
        <v>980.09404932139603</v>
      </c>
      <c r="H79" s="83">
        <v>1436.9175468864535</v>
      </c>
      <c r="I79" s="83">
        <v>1362.1646109212622</v>
      </c>
      <c r="J79" s="83">
        <v>1411.9999015647229</v>
      </c>
      <c r="K79" s="83">
        <v>1295.7175567299812</v>
      </c>
      <c r="L79" s="83">
        <v>1154.5175665735089</v>
      </c>
      <c r="M79" s="83">
        <v>747.52935965191216</v>
      </c>
      <c r="N79" s="83">
        <v>913.64699513011487</v>
      </c>
      <c r="O79" s="228">
        <v>12940.563803751991</v>
      </c>
    </row>
    <row r="80" spans="1:15" x14ac:dyDescent="0.25">
      <c r="A80" s="223"/>
      <c r="B80" s="224" t="s">
        <v>90</v>
      </c>
      <c r="C80" s="227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228">
        <v>0</v>
      </c>
    </row>
    <row r="81" spans="1:15" x14ac:dyDescent="0.25">
      <c r="A81" s="223"/>
      <c r="B81" s="224" t="s">
        <v>92</v>
      </c>
      <c r="C81" s="227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228">
        <v>0</v>
      </c>
    </row>
    <row r="82" spans="1:15" x14ac:dyDescent="0.25">
      <c r="A82" s="213" t="s">
        <v>56</v>
      </c>
      <c r="B82" s="213" t="s">
        <v>71</v>
      </c>
      <c r="C82" s="220">
        <v>58.363094555469495</v>
      </c>
      <c r="D82" s="221">
        <v>51.878306271528437</v>
      </c>
      <c r="E82" s="221">
        <v>64.847882839410545</v>
      </c>
      <c r="F82" s="221">
        <v>45.39351798758738</v>
      </c>
      <c r="G82" s="221">
        <v>64.847882839410545</v>
      </c>
      <c r="H82" s="221">
        <v>64.847882839410545</v>
      </c>
      <c r="I82" s="221">
        <v>77.81745940729266</v>
      </c>
      <c r="J82" s="221">
        <v>77.81745940729266</v>
      </c>
      <c r="K82" s="221">
        <v>71.332671123351602</v>
      </c>
      <c r="L82" s="221">
        <v>64.847882839410545</v>
      </c>
      <c r="M82" s="221">
        <v>64.847882839410545</v>
      </c>
      <c r="N82" s="221">
        <v>64.847882839410545</v>
      </c>
      <c r="O82" s="222">
        <v>771.6898057889855</v>
      </c>
    </row>
    <row r="83" spans="1:15" x14ac:dyDescent="0.25">
      <c r="A83" s="223"/>
      <c r="B83" s="224" t="s">
        <v>25</v>
      </c>
      <c r="C83" s="227">
        <v>-16.389841409721718</v>
      </c>
      <c r="D83" s="83">
        <v>-14.568747919752646</v>
      </c>
      <c r="E83" s="83">
        <v>-18.210934899690812</v>
      </c>
      <c r="F83" s="83">
        <v>-12.747654429783566</v>
      </c>
      <c r="G83" s="83">
        <v>-18.210934899690812</v>
      </c>
      <c r="H83" s="83">
        <v>-18.210934899690812</v>
      </c>
      <c r="I83" s="83">
        <v>-21.853121879628958</v>
      </c>
      <c r="J83" s="83">
        <v>-21.853121879628958</v>
      </c>
      <c r="K83" s="83">
        <v>-20.032028389659885</v>
      </c>
      <c r="L83" s="83">
        <v>-18.210934899690812</v>
      </c>
      <c r="M83" s="83">
        <v>-18.210934899690812</v>
      </c>
      <c r="N83" s="83">
        <v>-18.210934899690812</v>
      </c>
      <c r="O83" s="228">
        <v>-216.71012530632061</v>
      </c>
    </row>
    <row r="84" spans="1:15" x14ac:dyDescent="0.25">
      <c r="A84" s="223"/>
      <c r="B84" s="224" t="s">
        <v>26</v>
      </c>
      <c r="C84" s="227">
        <v>-1.3166193272051767</v>
      </c>
      <c r="D84" s="83">
        <v>-1.1703282908490458</v>
      </c>
      <c r="E84" s="83">
        <v>-1.4629103635613074</v>
      </c>
      <c r="F84" s="83">
        <v>-1.0240372544929151</v>
      </c>
      <c r="G84" s="83">
        <v>-1.4629103635613074</v>
      </c>
      <c r="H84" s="83">
        <v>-1.4629103635613074</v>
      </c>
      <c r="I84" s="83">
        <v>-1.7554924362735687</v>
      </c>
      <c r="J84" s="83">
        <v>-1.7554924362735687</v>
      </c>
      <c r="K84" s="83">
        <v>-1.6092013999174379</v>
      </c>
      <c r="L84" s="83">
        <v>-1.4629103635613074</v>
      </c>
      <c r="M84" s="83">
        <v>-1.4629103635613074</v>
      </c>
      <c r="N84" s="83">
        <v>-1.4629103635613074</v>
      </c>
      <c r="O84" s="228">
        <v>-17.408633326379558</v>
      </c>
    </row>
    <row r="85" spans="1:15" x14ac:dyDescent="0.25">
      <c r="A85" s="223"/>
      <c r="B85" s="224" t="s">
        <v>27</v>
      </c>
      <c r="C85" s="227">
        <v>-17.706460736926896</v>
      </c>
      <c r="D85" s="83">
        <v>-15.739076210601691</v>
      </c>
      <c r="E85" s="83">
        <v>-19.673845263252119</v>
      </c>
      <c r="F85" s="83">
        <v>-13.771691684276481</v>
      </c>
      <c r="G85" s="83">
        <v>-19.673845263252119</v>
      </c>
      <c r="H85" s="83">
        <v>-19.673845263252119</v>
      </c>
      <c r="I85" s="83">
        <v>-23.608614315902528</v>
      </c>
      <c r="J85" s="83">
        <v>-23.608614315902528</v>
      </c>
      <c r="K85" s="83">
        <v>-21.641229789577324</v>
      </c>
      <c r="L85" s="83">
        <v>-19.673845263252119</v>
      </c>
      <c r="M85" s="83">
        <v>-19.673845263252119</v>
      </c>
      <c r="N85" s="83">
        <v>-19.673845263252119</v>
      </c>
      <c r="O85" s="228">
        <v>-234.11875863270018</v>
      </c>
    </row>
    <row r="86" spans="1:15" x14ac:dyDescent="0.25">
      <c r="A86" s="223"/>
      <c r="B86" s="224" t="s">
        <v>50</v>
      </c>
      <c r="C86" s="227">
        <v>74.752935965191213</v>
      </c>
      <c r="D86" s="83">
        <v>66.447054191281083</v>
      </c>
      <c r="E86" s="83">
        <v>83.058817739101357</v>
      </c>
      <c r="F86" s="83">
        <v>58.141172417370946</v>
      </c>
      <c r="G86" s="83">
        <v>83.058817739101357</v>
      </c>
      <c r="H86" s="83">
        <v>83.058817739101357</v>
      </c>
      <c r="I86" s="83">
        <v>99.670581286921617</v>
      </c>
      <c r="J86" s="83">
        <v>99.670581286921617</v>
      </c>
      <c r="K86" s="83">
        <v>91.364699513011487</v>
      </c>
      <c r="L86" s="83">
        <v>83.058817739101357</v>
      </c>
      <c r="M86" s="83">
        <v>83.058817739101357</v>
      </c>
      <c r="N86" s="83">
        <v>83.058817739101357</v>
      </c>
      <c r="O86" s="228">
        <v>988.3999310953061</v>
      </c>
    </row>
    <row r="87" spans="1:15" x14ac:dyDescent="0.25">
      <c r="A87" s="223"/>
      <c r="B87" s="224" t="s">
        <v>90</v>
      </c>
      <c r="C87" s="227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228">
        <v>0</v>
      </c>
    </row>
    <row r="88" spans="1:15" x14ac:dyDescent="0.25">
      <c r="A88" s="223"/>
      <c r="B88" s="224" t="s">
        <v>92</v>
      </c>
      <c r="C88" s="227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228">
        <v>0</v>
      </c>
    </row>
    <row r="89" spans="1:15" x14ac:dyDescent="0.25">
      <c r="A89" s="213" t="s">
        <v>57</v>
      </c>
      <c r="B89" s="213" t="s">
        <v>71</v>
      </c>
      <c r="C89" s="220">
        <v>168.60449538246743</v>
      </c>
      <c r="D89" s="221">
        <v>123.21097739488003</v>
      </c>
      <c r="E89" s="221">
        <v>116.72618911093899</v>
      </c>
      <c r="F89" s="221">
        <v>142.6653422467032</v>
      </c>
      <c r="G89" s="221">
        <v>201.02843680217271</v>
      </c>
      <c r="H89" s="221">
        <v>233.45237822187798</v>
      </c>
      <c r="I89" s="221">
        <v>246.42195478976006</v>
      </c>
      <c r="J89" s="221">
        <v>265.87631964158322</v>
      </c>
      <c r="K89" s="221">
        <v>188.05886023429059</v>
      </c>
      <c r="L89" s="221">
        <v>168.60449538246743</v>
      </c>
      <c r="M89" s="221">
        <v>142.6653422467032</v>
      </c>
      <c r="N89" s="221">
        <v>116.72618911093899</v>
      </c>
      <c r="O89" s="222">
        <v>2114.0409805647837</v>
      </c>
    </row>
    <row r="90" spans="1:15" x14ac:dyDescent="0.25">
      <c r="A90" s="223"/>
      <c r="B90" s="224" t="s">
        <v>25</v>
      </c>
      <c r="C90" s="227">
        <v>-47.34843073919609</v>
      </c>
      <c r="D90" s="83">
        <v>-34.600776309412552</v>
      </c>
      <c r="E90" s="83">
        <v>-32.779682819443437</v>
      </c>
      <c r="F90" s="83">
        <v>-40.06405677931977</v>
      </c>
      <c r="G90" s="83">
        <v>-56.453898189041496</v>
      </c>
      <c r="H90" s="83">
        <v>-65.559365638886874</v>
      </c>
      <c r="I90" s="83">
        <v>-69.201552618825104</v>
      </c>
      <c r="J90" s="83">
        <v>-74.664833088732337</v>
      </c>
      <c r="K90" s="83">
        <v>-52.811711209103322</v>
      </c>
      <c r="L90" s="83">
        <v>-47.34843073919609</v>
      </c>
      <c r="M90" s="83">
        <v>-40.06405677931977</v>
      </c>
      <c r="N90" s="83">
        <v>-32.779682819443437</v>
      </c>
      <c r="O90" s="228">
        <v>-593.67647772992018</v>
      </c>
    </row>
    <row r="91" spans="1:15" x14ac:dyDescent="0.25">
      <c r="A91" s="223"/>
      <c r="B91" s="224" t="s">
        <v>26</v>
      </c>
      <c r="C91" s="227">
        <v>-3.8035669452593988</v>
      </c>
      <c r="D91" s="83">
        <v>-2.7795296907664842</v>
      </c>
      <c r="E91" s="83">
        <v>-2.6332386544103534</v>
      </c>
      <c r="F91" s="83">
        <v>-3.2184027998348759</v>
      </c>
      <c r="G91" s="83">
        <v>-4.5350221270400519</v>
      </c>
      <c r="H91" s="83">
        <v>-5.2664773088207069</v>
      </c>
      <c r="I91" s="83">
        <v>-5.5590593815329683</v>
      </c>
      <c r="J91" s="83">
        <v>-5.99793249060136</v>
      </c>
      <c r="K91" s="83">
        <v>-4.2424400543277905</v>
      </c>
      <c r="L91" s="83">
        <v>-3.8035669452593988</v>
      </c>
      <c r="M91" s="83">
        <v>-3.2184027998348759</v>
      </c>
      <c r="N91" s="83">
        <v>-2.6332386544103534</v>
      </c>
      <c r="O91" s="228">
        <v>-47.690877852098623</v>
      </c>
    </row>
    <row r="92" spans="1:15" x14ac:dyDescent="0.25">
      <c r="A92" s="223"/>
      <c r="B92" s="224" t="s">
        <v>27</v>
      </c>
      <c r="C92" s="227">
        <v>-51.151997684455488</v>
      </c>
      <c r="D92" s="83">
        <v>-37.380306000179033</v>
      </c>
      <c r="E92" s="83">
        <v>-35.412921473853793</v>
      </c>
      <c r="F92" s="83">
        <v>-43.282459579154647</v>
      </c>
      <c r="G92" s="83">
        <v>-60.988920316081547</v>
      </c>
      <c r="H92" s="83">
        <v>-70.825842947707585</v>
      </c>
      <c r="I92" s="83">
        <v>-74.760612000358066</v>
      </c>
      <c r="J92" s="83">
        <v>-80.662765579333694</v>
      </c>
      <c r="K92" s="83">
        <v>-57.054151263431109</v>
      </c>
      <c r="L92" s="83">
        <v>-51.151997684455488</v>
      </c>
      <c r="M92" s="83">
        <v>-43.282459579154647</v>
      </c>
      <c r="N92" s="83">
        <v>-35.412921473853793</v>
      </c>
      <c r="O92" s="228">
        <v>-641.36735558201894</v>
      </c>
    </row>
    <row r="93" spans="1:15" x14ac:dyDescent="0.25">
      <c r="A93" s="223"/>
      <c r="B93" s="224" t="s">
        <v>50</v>
      </c>
      <c r="C93" s="227">
        <v>215.95292612166352</v>
      </c>
      <c r="D93" s="83">
        <v>157.81175370429258</v>
      </c>
      <c r="E93" s="83">
        <v>149.50587193038243</v>
      </c>
      <c r="F93" s="83">
        <v>182.72939902602297</v>
      </c>
      <c r="G93" s="83">
        <v>257.4823349912142</v>
      </c>
      <c r="H93" s="83">
        <v>299.01174386076485</v>
      </c>
      <c r="I93" s="83">
        <v>315.62350740858517</v>
      </c>
      <c r="J93" s="83">
        <v>340.54115273031556</v>
      </c>
      <c r="K93" s="83">
        <v>240.87057144339391</v>
      </c>
      <c r="L93" s="83">
        <v>215.95292612166352</v>
      </c>
      <c r="M93" s="83">
        <v>182.72939902602297</v>
      </c>
      <c r="N93" s="83">
        <v>149.50587193038243</v>
      </c>
      <c r="O93" s="228">
        <v>2707.7174582947046</v>
      </c>
    </row>
    <row r="94" spans="1:15" x14ac:dyDescent="0.25">
      <c r="A94" s="223"/>
      <c r="B94" s="224" t="s">
        <v>90</v>
      </c>
      <c r="C94" s="227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228">
        <v>0</v>
      </c>
    </row>
    <row r="95" spans="1:15" x14ac:dyDescent="0.25">
      <c r="A95" s="223"/>
      <c r="B95" s="224" t="s">
        <v>92</v>
      </c>
      <c r="C95" s="227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228">
        <v>0</v>
      </c>
    </row>
    <row r="96" spans="1:15" x14ac:dyDescent="0.25">
      <c r="A96" s="213" t="s">
        <v>58</v>
      </c>
      <c r="B96" s="213" t="s">
        <v>71</v>
      </c>
      <c r="C96" s="220">
        <v>220.48280165399586</v>
      </c>
      <c r="D96" s="221">
        <v>207.51322508611375</v>
      </c>
      <c r="E96" s="221">
        <v>207.51322508611375</v>
      </c>
      <c r="F96" s="221">
        <v>213.99801337005479</v>
      </c>
      <c r="G96" s="221">
        <v>259.39153135764218</v>
      </c>
      <c r="H96" s="221">
        <v>304.7850493452296</v>
      </c>
      <c r="I96" s="221">
        <v>304.7850493452296</v>
      </c>
      <c r="J96" s="221">
        <v>330.72420248099377</v>
      </c>
      <c r="K96" s="221">
        <v>278.84589620946537</v>
      </c>
      <c r="L96" s="221">
        <v>239.93716650581902</v>
      </c>
      <c r="M96" s="221">
        <v>220.48280165399586</v>
      </c>
      <c r="N96" s="221">
        <v>207.51322508611375</v>
      </c>
      <c r="O96" s="222">
        <v>2995.9721871807678</v>
      </c>
    </row>
    <row r="97" spans="1:15" x14ac:dyDescent="0.25">
      <c r="A97" s="223"/>
      <c r="B97" s="224" t="s">
        <v>25</v>
      </c>
      <c r="C97" s="227">
        <v>-61.917178658948728</v>
      </c>
      <c r="D97" s="83">
        <v>-58.274991679010583</v>
      </c>
      <c r="E97" s="83">
        <v>-58.274991679010583</v>
      </c>
      <c r="F97" s="83">
        <v>-60.09608516897967</v>
      </c>
      <c r="G97" s="83">
        <v>-72.84373959876325</v>
      </c>
      <c r="H97" s="83">
        <v>-85.591394028546745</v>
      </c>
      <c r="I97" s="83">
        <v>-85.591394028546745</v>
      </c>
      <c r="J97" s="83">
        <v>-92.875767988423149</v>
      </c>
      <c r="K97" s="83">
        <v>-78.307020068670454</v>
      </c>
      <c r="L97" s="83">
        <v>-67.380459128855961</v>
      </c>
      <c r="M97" s="83">
        <v>-61.917178658948728</v>
      </c>
      <c r="N97" s="83">
        <v>-58.274991679010583</v>
      </c>
      <c r="O97" s="228">
        <v>-841.34519236571509</v>
      </c>
    </row>
    <row r="98" spans="1:15" x14ac:dyDescent="0.25">
      <c r="A98" s="223"/>
      <c r="B98" s="224" t="s">
        <v>26</v>
      </c>
      <c r="C98" s="227">
        <v>-4.9738952361084454</v>
      </c>
      <c r="D98" s="83">
        <v>-4.6813131633961831</v>
      </c>
      <c r="E98" s="83">
        <v>-4.6813131633961831</v>
      </c>
      <c r="F98" s="83">
        <v>-4.8276041997523143</v>
      </c>
      <c r="G98" s="83">
        <v>-5.8516414542452297</v>
      </c>
      <c r="H98" s="83">
        <v>-6.8756787087381444</v>
      </c>
      <c r="I98" s="83">
        <v>-6.8756787087381444</v>
      </c>
      <c r="J98" s="83">
        <v>-7.4608428541626663</v>
      </c>
      <c r="K98" s="83">
        <v>-6.2905145633136215</v>
      </c>
      <c r="L98" s="83">
        <v>-5.4127683451768371</v>
      </c>
      <c r="M98" s="83">
        <v>-4.9738952361084454</v>
      </c>
      <c r="N98" s="83">
        <v>-4.6813131633961831</v>
      </c>
      <c r="O98" s="228">
        <v>-67.586458796532384</v>
      </c>
    </row>
    <row r="99" spans="1:15" x14ac:dyDescent="0.25">
      <c r="A99" s="223"/>
      <c r="B99" s="224" t="s">
        <v>27</v>
      </c>
      <c r="C99" s="227">
        <v>-66.891073895057175</v>
      </c>
      <c r="D99" s="83">
        <v>-62.956304842406766</v>
      </c>
      <c r="E99" s="83">
        <v>-62.956304842406766</v>
      </c>
      <c r="F99" s="83">
        <v>-64.923689368731985</v>
      </c>
      <c r="G99" s="83">
        <v>-78.695381053008475</v>
      </c>
      <c r="H99" s="83">
        <v>-92.467072737284894</v>
      </c>
      <c r="I99" s="83">
        <v>-92.467072737284894</v>
      </c>
      <c r="J99" s="83">
        <v>-100.33661084258581</v>
      </c>
      <c r="K99" s="83">
        <v>-84.597534631984075</v>
      </c>
      <c r="L99" s="83">
        <v>-72.793227474032804</v>
      </c>
      <c r="M99" s="83">
        <v>-66.891073895057175</v>
      </c>
      <c r="N99" s="83">
        <v>-62.956304842406766</v>
      </c>
      <c r="O99" s="228">
        <v>-908.9316511622477</v>
      </c>
    </row>
    <row r="100" spans="1:15" x14ac:dyDescent="0.25">
      <c r="A100" s="223"/>
      <c r="B100" s="224" t="s">
        <v>50</v>
      </c>
      <c r="C100" s="227">
        <v>282.39998031294459</v>
      </c>
      <c r="D100" s="83">
        <v>265.78821676512433</v>
      </c>
      <c r="E100" s="83">
        <v>265.78821676512433</v>
      </c>
      <c r="F100" s="83">
        <v>274.09409853903446</v>
      </c>
      <c r="G100" s="83">
        <v>332.23527095640543</v>
      </c>
      <c r="H100" s="83">
        <v>390.37644337377634</v>
      </c>
      <c r="I100" s="83">
        <v>390.37644337377634</v>
      </c>
      <c r="J100" s="83">
        <v>423.59997046941692</v>
      </c>
      <c r="K100" s="83">
        <v>357.15291627813582</v>
      </c>
      <c r="L100" s="83">
        <v>307.31762563467498</v>
      </c>
      <c r="M100" s="83">
        <v>282.39998031294459</v>
      </c>
      <c r="N100" s="83">
        <v>265.78821676512433</v>
      </c>
      <c r="O100" s="228">
        <v>3837.3173795464822</v>
      </c>
    </row>
    <row r="101" spans="1:15" x14ac:dyDescent="0.25">
      <c r="A101" s="223"/>
      <c r="B101" s="224" t="s">
        <v>90</v>
      </c>
      <c r="C101" s="227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228">
        <v>0</v>
      </c>
    </row>
    <row r="102" spans="1:15" x14ac:dyDescent="0.25">
      <c r="A102" s="223"/>
      <c r="B102" s="224" t="s">
        <v>92</v>
      </c>
      <c r="C102" s="227">
        <v>0</v>
      </c>
      <c r="D102" s="83">
        <v>0</v>
      </c>
      <c r="E102" s="83">
        <v>0</v>
      </c>
      <c r="F102" s="83">
        <v>0</v>
      </c>
      <c r="G102" s="83">
        <v>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228">
        <v>0</v>
      </c>
    </row>
    <row r="103" spans="1:15" x14ac:dyDescent="0.25">
      <c r="A103" s="213" t="s">
        <v>82</v>
      </c>
      <c r="B103" s="213" t="s">
        <v>71</v>
      </c>
      <c r="C103" s="220">
        <v>1400.7142693312678</v>
      </c>
      <c r="D103" s="221">
        <v>946.779089455394</v>
      </c>
      <c r="E103" s="221">
        <v>732.78107608533912</v>
      </c>
      <c r="F103" s="221">
        <v>492.84390957952013</v>
      </c>
      <c r="G103" s="221">
        <v>778.17459407292654</v>
      </c>
      <c r="H103" s="221">
        <v>953.26387773933504</v>
      </c>
      <c r="I103" s="221">
        <v>1005.1421840108635</v>
      </c>
      <c r="J103" s="221">
        <v>1018.1117605787456</v>
      </c>
      <c r="K103" s="221">
        <v>817.08332377657291</v>
      </c>
      <c r="L103" s="221">
        <v>726.29628780139808</v>
      </c>
      <c r="M103" s="221">
        <v>603.08531040651803</v>
      </c>
      <c r="N103" s="221">
        <v>830.052900344455</v>
      </c>
      <c r="O103" s="222">
        <v>10304.328583182336</v>
      </c>
    </row>
    <row r="104" spans="1:15" x14ac:dyDescent="0.25">
      <c r="A104" s="223"/>
      <c r="B104" s="224" t="s">
        <v>25</v>
      </c>
      <c r="C104" s="227">
        <v>-393.35619383332141</v>
      </c>
      <c r="D104" s="83">
        <v>-265.87964953548578</v>
      </c>
      <c r="E104" s="83">
        <v>-205.7835643665062</v>
      </c>
      <c r="F104" s="83">
        <v>-138.40310523765021</v>
      </c>
      <c r="G104" s="83">
        <v>-218.53121879628975</v>
      </c>
      <c r="H104" s="83">
        <v>-267.70074302545493</v>
      </c>
      <c r="I104" s="83">
        <v>-282.26949094520751</v>
      </c>
      <c r="J104" s="83">
        <v>-285.91167792514557</v>
      </c>
      <c r="K104" s="83">
        <v>-229.45777973610404</v>
      </c>
      <c r="L104" s="83">
        <v>-203.96247087653705</v>
      </c>
      <c r="M104" s="83">
        <v>-169.36169456712457</v>
      </c>
      <c r="N104" s="83">
        <v>-233.09996671604233</v>
      </c>
      <c r="O104" s="228">
        <v>-2893.7175555608692</v>
      </c>
    </row>
    <row r="105" spans="1:15" x14ac:dyDescent="0.25">
      <c r="A105" s="223"/>
      <c r="B105" s="224" t="s">
        <v>26</v>
      </c>
      <c r="C105" s="227">
        <v>-31.598863852924239</v>
      </c>
      <c r="D105" s="83">
        <v>-21.358491307995084</v>
      </c>
      <c r="E105" s="83">
        <v>-16.530887108242773</v>
      </c>
      <c r="F105" s="83">
        <v>-11.118118763065937</v>
      </c>
      <c r="G105" s="83">
        <v>-17.554924362735687</v>
      </c>
      <c r="H105" s="83">
        <v>-21.504782344351216</v>
      </c>
      <c r="I105" s="83">
        <v>-22.675110635200266</v>
      </c>
      <c r="J105" s="83">
        <v>-22.967692707912523</v>
      </c>
      <c r="K105" s="83">
        <v>-18.432670580872472</v>
      </c>
      <c r="L105" s="83">
        <v>-16.384596071886641</v>
      </c>
      <c r="M105" s="83">
        <v>-13.605066381120158</v>
      </c>
      <c r="N105" s="83">
        <v>-18.725252653584732</v>
      </c>
      <c r="O105" s="228">
        <v>-232.45645676989176</v>
      </c>
    </row>
    <row r="106" spans="1:15" x14ac:dyDescent="0.25">
      <c r="A106" s="223"/>
      <c r="B106" s="224" t="s">
        <v>27</v>
      </c>
      <c r="C106" s="227">
        <v>-424.95505768624565</v>
      </c>
      <c r="D106" s="83">
        <v>-287.23814084348089</v>
      </c>
      <c r="E106" s="83">
        <v>-222.31445147474898</v>
      </c>
      <c r="F106" s="83">
        <v>-149.52122400071613</v>
      </c>
      <c r="G106" s="83">
        <v>-236.08614315902543</v>
      </c>
      <c r="H106" s="83">
        <v>-289.20552536980614</v>
      </c>
      <c r="I106" s="83">
        <v>-304.94460158040778</v>
      </c>
      <c r="J106" s="83">
        <v>-308.8793706330581</v>
      </c>
      <c r="K106" s="83">
        <v>-247.89045031697651</v>
      </c>
      <c r="L106" s="83">
        <v>-220.3470669484237</v>
      </c>
      <c r="M106" s="83">
        <v>-182.96676094824474</v>
      </c>
      <c r="N106" s="83">
        <v>-251.82521936962706</v>
      </c>
      <c r="O106" s="228">
        <v>-3126.1740123307609</v>
      </c>
    </row>
    <row r="107" spans="1:15" x14ac:dyDescent="0.25">
      <c r="A107" s="223"/>
      <c r="B107" s="224" t="s">
        <v>50</v>
      </c>
      <c r="C107" s="227">
        <v>1794.0704631645892</v>
      </c>
      <c r="D107" s="83">
        <v>1212.6587389908798</v>
      </c>
      <c r="E107" s="83">
        <v>938.56464045184532</v>
      </c>
      <c r="F107" s="83">
        <v>631.24701481717034</v>
      </c>
      <c r="G107" s="83">
        <v>996.70581286921629</v>
      </c>
      <c r="H107" s="83">
        <v>1220.96462076479</v>
      </c>
      <c r="I107" s="83">
        <v>1287.411674956071</v>
      </c>
      <c r="J107" s="83">
        <v>1304.0234385038912</v>
      </c>
      <c r="K107" s="83">
        <v>1046.541103512677</v>
      </c>
      <c r="L107" s="83">
        <v>930.25875867793513</v>
      </c>
      <c r="M107" s="83">
        <v>772.44700497364261</v>
      </c>
      <c r="N107" s="83">
        <v>1063.1528670604973</v>
      </c>
      <c r="O107" s="228">
        <v>13198.046138743204</v>
      </c>
    </row>
    <row r="108" spans="1:15" x14ac:dyDescent="0.25">
      <c r="A108" s="223"/>
      <c r="B108" s="224" t="s">
        <v>90</v>
      </c>
      <c r="C108" s="227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228">
        <v>0</v>
      </c>
    </row>
    <row r="109" spans="1:15" x14ac:dyDescent="0.25">
      <c r="A109" s="223"/>
      <c r="B109" s="224" t="s">
        <v>92</v>
      </c>
      <c r="C109" s="227">
        <v>0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228">
        <v>0</v>
      </c>
    </row>
    <row r="110" spans="1:15" x14ac:dyDescent="0.25">
      <c r="A110" s="213" t="s">
        <v>86</v>
      </c>
      <c r="B110" s="213" t="s">
        <v>71</v>
      </c>
      <c r="C110" s="220">
        <v>376.11772046858118</v>
      </c>
      <c r="D110" s="221">
        <v>233.45237822187798</v>
      </c>
      <c r="E110" s="221">
        <v>188.05886023429059</v>
      </c>
      <c r="F110" s="221">
        <v>175.08928366640848</v>
      </c>
      <c r="G110" s="221">
        <v>233.45237822187798</v>
      </c>
      <c r="H110" s="221">
        <v>343.69377904887591</v>
      </c>
      <c r="I110" s="221">
        <v>343.69377904887591</v>
      </c>
      <c r="J110" s="221">
        <v>350.17856733281695</v>
      </c>
      <c r="K110" s="221">
        <v>311.26983762917064</v>
      </c>
      <c r="L110" s="221">
        <v>265.87631964158322</v>
      </c>
      <c r="M110" s="221">
        <v>142.6653422467032</v>
      </c>
      <c r="N110" s="221">
        <v>239.93716650581902</v>
      </c>
      <c r="O110" s="222">
        <v>3203.4854122668812</v>
      </c>
    </row>
    <row r="111" spans="1:15" x14ac:dyDescent="0.25">
      <c r="A111" s="223"/>
      <c r="B111" s="224" t="s">
        <v>25</v>
      </c>
      <c r="C111" s="227">
        <v>-105.62342241820664</v>
      </c>
      <c r="D111" s="83">
        <v>-65.559365638886874</v>
      </c>
      <c r="E111" s="83">
        <v>-52.811711209103322</v>
      </c>
      <c r="F111" s="83">
        <v>-49.169524229165177</v>
      </c>
      <c r="G111" s="83">
        <v>-65.559365638886874</v>
      </c>
      <c r="H111" s="83">
        <v>-96.517954968361266</v>
      </c>
      <c r="I111" s="83">
        <v>-96.517954968361266</v>
      </c>
      <c r="J111" s="83">
        <v>-98.339048458330353</v>
      </c>
      <c r="K111" s="83">
        <v>-87.412487518515832</v>
      </c>
      <c r="L111" s="83">
        <v>-74.664833088732337</v>
      </c>
      <c r="M111" s="83">
        <v>-40.06405677931977</v>
      </c>
      <c r="N111" s="83">
        <v>-67.380459128855961</v>
      </c>
      <c r="O111" s="228">
        <v>-899.62018404472576</v>
      </c>
    </row>
    <row r="112" spans="1:15" x14ac:dyDescent="0.25">
      <c r="A112" s="223"/>
      <c r="B112" s="224" t="s">
        <v>26</v>
      </c>
      <c r="C112" s="227">
        <v>-8.484880108655581</v>
      </c>
      <c r="D112" s="83">
        <v>-5.2664773088207069</v>
      </c>
      <c r="E112" s="83">
        <v>-4.2424400543277905</v>
      </c>
      <c r="F112" s="83">
        <v>-3.9498579816155299</v>
      </c>
      <c r="G112" s="83">
        <v>-5.2664773088207069</v>
      </c>
      <c r="H112" s="83">
        <v>-7.7534249268749287</v>
      </c>
      <c r="I112" s="83">
        <v>-7.7534249268749287</v>
      </c>
      <c r="J112" s="83">
        <v>-7.8997159632310598</v>
      </c>
      <c r="K112" s="83">
        <v>-7.0219697450942746</v>
      </c>
      <c r="L112" s="83">
        <v>-5.99793249060136</v>
      </c>
      <c r="M112" s="83">
        <v>-3.2184027998348759</v>
      </c>
      <c r="N112" s="83">
        <v>-5.4127683451768371</v>
      </c>
      <c r="O112" s="228">
        <v>-72.267771959928581</v>
      </c>
    </row>
    <row r="113" spans="1:15" x14ac:dyDescent="0.25">
      <c r="A113" s="223"/>
      <c r="B113" s="224" t="s">
        <v>27</v>
      </c>
      <c r="C113" s="227">
        <v>-114.10830252686222</v>
      </c>
      <c r="D113" s="83">
        <v>-70.825842947707585</v>
      </c>
      <c r="E113" s="83">
        <v>-57.054151263431109</v>
      </c>
      <c r="F113" s="83">
        <v>-53.119382210780707</v>
      </c>
      <c r="G113" s="83">
        <v>-70.825842947707585</v>
      </c>
      <c r="H113" s="83">
        <v>-104.27137989523619</v>
      </c>
      <c r="I113" s="83">
        <v>-104.27137989523619</v>
      </c>
      <c r="J113" s="83">
        <v>-106.23876442156141</v>
      </c>
      <c r="K113" s="83">
        <v>-94.434457263610113</v>
      </c>
      <c r="L113" s="83">
        <v>-80.662765579333694</v>
      </c>
      <c r="M113" s="83">
        <v>-43.282459579154647</v>
      </c>
      <c r="N113" s="83">
        <v>-72.793227474032804</v>
      </c>
      <c r="O113" s="228">
        <v>-971.88795600465426</v>
      </c>
    </row>
    <row r="114" spans="1:15" x14ac:dyDescent="0.25">
      <c r="A114" s="223"/>
      <c r="B114" s="224" t="s">
        <v>50</v>
      </c>
      <c r="C114" s="227">
        <v>481.74114288678783</v>
      </c>
      <c r="D114" s="83">
        <v>299.01174386076485</v>
      </c>
      <c r="E114" s="83">
        <v>240.87057144339391</v>
      </c>
      <c r="F114" s="83">
        <v>224.25880789557365</v>
      </c>
      <c r="G114" s="83">
        <v>299.01174386076485</v>
      </c>
      <c r="H114" s="83">
        <v>440.21173401723718</v>
      </c>
      <c r="I114" s="83">
        <v>440.21173401723718</v>
      </c>
      <c r="J114" s="83">
        <v>448.51761579114731</v>
      </c>
      <c r="K114" s="83">
        <v>398.68232514768647</v>
      </c>
      <c r="L114" s="83">
        <v>340.54115273031556</v>
      </c>
      <c r="M114" s="83">
        <v>182.72939902602297</v>
      </c>
      <c r="N114" s="83">
        <v>307.31762563467498</v>
      </c>
      <c r="O114" s="228">
        <v>4103.1055963116069</v>
      </c>
    </row>
    <row r="115" spans="1:15" x14ac:dyDescent="0.25">
      <c r="A115" s="223"/>
      <c r="B115" s="224" t="s">
        <v>90</v>
      </c>
      <c r="C115" s="227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228">
        <v>0</v>
      </c>
    </row>
    <row r="116" spans="1:15" x14ac:dyDescent="0.25">
      <c r="A116" s="223"/>
      <c r="B116" s="224" t="s">
        <v>92</v>
      </c>
      <c r="C116" s="227">
        <v>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228">
        <v>0</v>
      </c>
    </row>
    <row r="117" spans="1:15" x14ac:dyDescent="0.25">
      <c r="A117" s="213" t="s">
        <v>72</v>
      </c>
      <c r="B117" s="214"/>
      <c r="C117" s="220">
        <v>64698.732708879914</v>
      </c>
      <c r="D117" s="221">
        <v>47228.7130719427</v>
      </c>
      <c r="E117" s="221">
        <v>41930.641043962853</v>
      </c>
      <c r="F117" s="221">
        <v>45160.065609365498</v>
      </c>
      <c r="G117" s="221">
        <v>54524.099891376383</v>
      </c>
      <c r="H117" s="221">
        <v>67091.619585654131</v>
      </c>
      <c r="I117" s="221">
        <v>67811.431085171615</v>
      </c>
      <c r="J117" s="221">
        <v>68693.362291787576</v>
      </c>
      <c r="K117" s="221">
        <v>61838.941075661904</v>
      </c>
      <c r="L117" s="221">
        <v>54569.493409363975</v>
      </c>
      <c r="M117" s="221">
        <v>39492.360649201029</v>
      </c>
      <c r="N117" s="221">
        <v>47442.711085312752</v>
      </c>
      <c r="O117" s="222">
        <v>660482.17150768044</v>
      </c>
    </row>
    <row r="118" spans="1:15" ht="13" x14ac:dyDescent="0.3">
      <c r="A118" s="213" t="s">
        <v>28</v>
      </c>
      <c r="B118" s="214"/>
      <c r="C118" s="229">
        <v>-18169.049749421523</v>
      </c>
      <c r="D118" s="230">
        <v>-13263.023887444813</v>
      </c>
      <c r="E118" s="230">
        <v>-11775.190506140078</v>
      </c>
      <c r="F118" s="230">
        <v>-12682.095064144676</v>
      </c>
      <c r="G118" s="230">
        <v>-15311.754063660033</v>
      </c>
      <c r="H118" s="230">
        <v>-18841.033247220108</v>
      </c>
      <c r="I118" s="230">
        <v>-19043.174624606672</v>
      </c>
      <c r="J118" s="230">
        <v>-19290.843339242474</v>
      </c>
      <c r="K118" s="230">
        <v>-17365.947520345151</v>
      </c>
      <c r="L118" s="230">
        <v>-15324.501718089814</v>
      </c>
      <c r="M118" s="230">
        <v>-11090.459353911701</v>
      </c>
      <c r="N118" s="230">
        <v>-13323.119972613797</v>
      </c>
      <c r="O118" s="231">
        <v>-185480.1930468409</v>
      </c>
    </row>
    <row r="119" spans="1:15" ht="13" x14ac:dyDescent="0.3">
      <c r="A119" s="213" t="s">
        <v>29</v>
      </c>
      <c r="B119" s="214"/>
      <c r="C119" s="229">
        <v>-1459.5456697251166</v>
      </c>
      <c r="D119" s="230">
        <v>-1065.4376177817003</v>
      </c>
      <c r="E119" s="230">
        <v>-945.91784107874116</v>
      </c>
      <c r="F119" s="230">
        <v>-1018.7707771840945</v>
      </c>
      <c r="G119" s="230">
        <v>-1230.0150336823472</v>
      </c>
      <c r="H119" s="230">
        <v>-1513.5270621405284</v>
      </c>
      <c r="I119" s="230">
        <v>-1529.7653671760588</v>
      </c>
      <c r="J119" s="230">
        <v>-1549.6609481204928</v>
      </c>
      <c r="K119" s="230">
        <v>-1395.0313226920628</v>
      </c>
      <c r="L119" s="230">
        <v>-1231.0390709368403</v>
      </c>
      <c r="M119" s="230">
        <v>-890.91241140883608</v>
      </c>
      <c r="N119" s="230">
        <v>-1070.2652219814524</v>
      </c>
      <c r="O119" s="231">
        <v>-14899.888343908271</v>
      </c>
    </row>
    <row r="120" spans="1:15" ht="13" x14ac:dyDescent="0.3">
      <c r="A120" s="213" t="s">
        <v>30</v>
      </c>
      <c r="B120" s="214"/>
      <c r="C120" s="229">
        <v>-19628.595419146644</v>
      </c>
      <c r="D120" s="230">
        <v>-14328.461505226513</v>
      </c>
      <c r="E120" s="230">
        <v>-12721.10834721882</v>
      </c>
      <c r="F120" s="230">
        <v>-13700.86584132877</v>
      </c>
      <c r="G120" s="230">
        <v>-16541.769097342378</v>
      </c>
      <c r="H120" s="230">
        <v>-20354.560309360633</v>
      </c>
      <c r="I120" s="230">
        <v>-20572.939991782725</v>
      </c>
      <c r="J120" s="230">
        <v>-20840.504287362965</v>
      </c>
      <c r="K120" s="230">
        <v>-18760.978843037221</v>
      </c>
      <c r="L120" s="230">
        <v>-16555.540789026654</v>
      </c>
      <c r="M120" s="230">
        <v>-11981.37176532054</v>
      </c>
      <c r="N120" s="230">
        <v>-14393.385194595243</v>
      </c>
      <c r="O120" s="231">
        <v>-200380.08139074908</v>
      </c>
    </row>
    <row r="121" spans="1:15" x14ac:dyDescent="0.25">
      <c r="A121" s="213" t="s">
        <v>62</v>
      </c>
      <c r="B121" s="214"/>
      <c r="C121" s="220">
        <v>82867.782458301444</v>
      </c>
      <c r="D121" s="221">
        <v>60491.736959387519</v>
      </c>
      <c r="E121" s="221">
        <v>53705.83155010295</v>
      </c>
      <c r="F121" s="221">
        <v>57842.160673510181</v>
      </c>
      <c r="G121" s="221">
        <v>69835.853955036422</v>
      </c>
      <c r="H121" s="221">
        <v>85932.652832874286</v>
      </c>
      <c r="I121" s="221">
        <v>86854.60570977829</v>
      </c>
      <c r="J121" s="221">
        <v>87984.205631030054</v>
      </c>
      <c r="K121" s="221">
        <v>79204.888596007047</v>
      </c>
      <c r="L121" s="221">
        <v>69893.995127453803</v>
      </c>
      <c r="M121" s="221">
        <v>50582.820003112727</v>
      </c>
      <c r="N121" s="221">
        <v>60765.831057926553</v>
      </c>
      <c r="O121" s="222">
        <v>845962.36455452116</v>
      </c>
    </row>
    <row r="122" spans="1:15" x14ac:dyDescent="0.25">
      <c r="A122" s="213" t="s">
        <v>91</v>
      </c>
      <c r="B122" s="214"/>
      <c r="C122" s="220">
        <v>0</v>
      </c>
      <c r="D122" s="221">
        <v>0</v>
      </c>
      <c r="E122" s="221">
        <v>0</v>
      </c>
      <c r="F122" s="221">
        <v>0</v>
      </c>
      <c r="G122" s="221">
        <v>0</v>
      </c>
      <c r="H122" s="221">
        <v>0</v>
      </c>
      <c r="I122" s="221">
        <v>0</v>
      </c>
      <c r="J122" s="221">
        <v>0</v>
      </c>
      <c r="K122" s="221">
        <v>0</v>
      </c>
      <c r="L122" s="221">
        <v>0</v>
      </c>
      <c r="M122" s="221">
        <v>0</v>
      </c>
      <c r="N122" s="221">
        <v>0</v>
      </c>
      <c r="O122" s="222">
        <v>0</v>
      </c>
    </row>
    <row r="123" spans="1:15" x14ac:dyDescent="0.25">
      <c r="A123" s="232" t="s">
        <v>93</v>
      </c>
      <c r="B123" s="233"/>
      <c r="C123" s="234">
        <v>0</v>
      </c>
      <c r="D123" s="235">
        <v>0</v>
      </c>
      <c r="E123" s="235">
        <v>0</v>
      </c>
      <c r="F123" s="235">
        <v>0</v>
      </c>
      <c r="G123" s="235">
        <v>0</v>
      </c>
      <c r="H123" s="235">
        <v>0</v>
      </c>
      <c r="I123" s="235">
        <v>0</v>
      </c>
      <c r="J123" s="235">
        <v>0</v>
      </c>
      <c r="K123" s="235">
        <v>0</v>
      </c>
      <c r="L123" s="235">
        <v>0</v>
      </c>
      <c r="M123" s="235">
        <v>0</v>
      </c>
      <c r="N123" s="235">
        <v>0</v>
      </c>
      <c r="O123" s="236">
        <v>0</v>
      </c>
    </row>
    <row r="125" spans="1:15" x14ac:dyDescent="0.25">
      <c r="L125" s="200"/>
      <c r="O125" s="200"/>
    </row>
    <row r="126" spans="1:15" x14ac:dyDescent="0.25">
      <c r="L126" s="83"/>
      <c r="O126" s="83"/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S220"/>
  <sheetViews>
    <sheetView showGridLines="0" view="pageBreakPreview" topLeftCell="A3" zoomScaleNormal="80" zoomScaleSheetLayoutView="100" workbookViewId="0">
      <selection activeCell="M21" sqref="M21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30" customWidth="1"/>
    <col min="5" max="5" width="24.26953125" style="1" customWidth="1"/>
    <col min="6" max="6" width="7.7265625" style="130" customWidth="1"/>
    <col min="7" max="7" width="8" style="130" customWidth="1"/>
    <col min="8" max="8" width="11.1796875" style="130" bestFit="1" customWidth="1"/>
    <col min="9" max="9" width="11.26953125" style="131" customWidth="1"/>
    <col min="10" max="10" width="13.7265625" style="130" customWidth="1"/>
    <col min="11" max="11" width="13.54296875" style="132" customWidth="1"/>
    <col min="12" max="12" width="14.7265625" style="130" customWidth="1"/>
    <col min="13" max="13" width="13.453125" style="94" bestFit="1" customWidth="1"/>
    <col min="14" max="17" width="13.453125" style="94" customWidth="1"/>
    <col min="18" max="18" width="15.54296875" style="198" customWidth="1"/>
    <col min="19" max="16384" width="8.7265625" style="1"/>
  </cols>
  <sheetData>
    <row r="1" spans="2:18" ht="21.5" x14ac:dyDescent="0.3">
      <c r="B1" s="10" t="s">
        <v>97</v>
      </c>
      <c r="C1" s="84"/>
      <c r="D1" s="85"/>
      <c r="E1" s="84"/>
      <c r="F1" s="86" t="s">
        <v>12</v>
      </c>
      <c r="G1" s="87"/>
      <c r="H1" s="88"/>
      <c r="I1" s="89"/>
      <c r="J1" s="211" t="str">
        <f>"True-Up ARR
(CY"&amp;R1&amp;")"</f>
        <v>True-Up ARR
(CY2024)</v>
      </c>
      <c r="K1" s="211" t="str">
        <f>"Projected ARR
(Jan'"&amp;RIGHT(R$1,2)&amp;" - Dec'"&amp;RIGHT(R$1,2)&amp;")"</f>
        <v>Projected ARR
(Jan'24 - Dec'24)</v>
      </c>
      <c r="L1" s="90" t="s">
        <v>46</v>
      </c>
      <c r="M1" s="91"/>
      <c r="N1" s="50"/>
      <c r="O1" s="50"/>
      <c r="P1" s="50"/>
      <c r="Q1" s="50"/>
      <c r="R1" s="92">
        <v>2024</v>
      </c>
    </row>
    <row r="2" spans="2:18" ht="13" x14ac:dyDescent="0.3">
      <c r="B2" s="10" t="s">
        <v>53</v>
      </c>
      <c r="C2" s="84"/>
      <c r="D2" s="85"/>
      <c r="E2" s="84"/>
      <c r="F2" s="93">
        <v>1</v>
      </c>
      <c r="G2" s="238"/>
      <c r="H2" s="238"/>
      <c r="I2" s="95" t="s">
        <v>6</v>
      </c>
      <c r="J2" s="96">
        <v>660514.59544910013</v>
      </c>
      <c r="K2" s="96">
        <v>843113.44710607</v>
      </c>
      <c r="L2" s="205"/>
      <c r="M2" s="98"/>
      <c r="N2" s="50"/>
      <c r="O2" s="50"/>
      <c r="P2" s="50"/>
      <c r="Q2" s="50"/>
      <c r="R2" s="1"/>
    </row>
    <row r="3" spans="2:18" ht="13" x14ac:dyDescent="0.3">
      <c r="B3" s="10" t="str">
        <f>"for CY"&amp;R1&amp;" SPP Network Transmission Service"</f>
        <v>for CY2024 SPP Network Transmission Service</v>
      </c>
      <c r="C3" s="84"/>
      <c r="D3" s="85"/>
      <c r="E3" s="84"/>
      <c r="F3" s="93"/>
      <c r="G3" s="238"/>
      <c r="H3" s="238"/>
      <c r="I3" s="95" t="s">
        <v>10</v>
      </c>
      <c r="J3" s="99">
        <v>6.4847882839410547</v>
      </c>
      <c r="K3" s="99">
        <v>8.3058817739101354</v>
      </c>
      <c r="L3" s="119" t="str">
        <f>"Inv. Jan-Dec'"&amp;RIGHT(R1,2)</f>
        <v>Inv. Jan-Dec'24</v>
      </c>
      <c r="M3" s="98"/>
      <c r="N3" s="50"/>
      <c r="O3" s="50"/>
      <c r="P3" s="50"/>
      <c r="Q3" s="50"/>
      <c r="R3" s="1"/>
    </row>
    <row r="4" spans="2:18" ht="13" x14ac:dyDescent="0.3">
      <c r="B4" s="9"/>
      <c r="C4" s="84"/>
      <c r="D4" s="85"/>
      <c r="E4" s="84"/>
      <c r="F4" s="93"/>
      <c r="G4" s="94"/>
      <c r="H4" s="94"/>
      <c r="I4" s="49"/>
      <c r="J4" s="94"/>
      <c r="K4" s="100"/>
      <c r="L4" s="94"/>
      <c r="M4" s="101"/>
      <c r="R4" s="1"/>
    </row>
    <row r="5" spans="2:18" ht="13" x14ac:dyDescent="0.3">
      <c r="B5" s="9"/>
      <c r="C5" s="84"/>
      <c r="D5" s="85"/>
      <c r="E5" s="84"/>
      <c r="F5" s="93"/>
      <c r="G5" s="94"/>
      <c r="H5" s="94"/>
      <c r="I5" s="95"/>
      <c r="J5" s="94"/>
      <c r="K5" s="96">
        <v>0</v>
      </c>
      <c r="L5" s="97"/>
      <c r="M5" s="102"/>
      <c r="N5" s="103"/>
      <c r="O5" s="103"/>
      <c r="P5" s="103"/>
      <c r="Q5" s="103"/>
      <c r="R5" s="104"/>
    </row>
    <row r="6" spans="2:18" ht="13" x14ac:dyDescent="0.3">
      <c r="B6" s="10" t="s">
        <v>23</v>
      </c>
      <c r="D6" s="85"/>
      <c r="E6" s="84"/>
      <c r="F6" s="105"/>
      <c r="G6" s="106"/>
      <c r="H6" s="107"/>
      <c r="I6" s="108"/>
      <c r="J6" s="109"/>
      <c r="K6" s="99">
        <v>0</v>
      </c>
      <c r="L6" s="199"/>
      <c r="M6" s="102"/>
      <c r="N6" s="103"/>
      <c r="O6" s="103"/>
      <c r="P6" s="103"/>
      <c r="Q6" s="103"/>
      <c r="R6" s="1"/>
    </row>
    <row r="7" spans="2:18" ht="13" x14ac:dyDescent="0.3">
      <c r="B7" s="9" t="s">
        <v>78</v>
      </c>
      <c r="D7" s="85"/>
      <c r="E7" s="84"/>
      <c r="F7" s="93"/>
      <c r="G7" s="239"/>
      <c r="H7" s="238"/>
      <c r="I7" s="95"/>
      <c r="J7" s="110"/>
      <c r="K7" s="97"/>
      <c r="L7" s="97"/>
      <c r="M7" s="111"/>
      <c r="N7" s="112"/>
      <c r="O7" s="112"/>
      <c r="P7" s="112"/>
      <c r="Q7" s="112"/>
      <c r="R7" s="1"/>
    </row>
    <row r="8" spans="2:18" ht="13" x14ac:dyDescent="0.3">
      <c r="B8" s="10"/>
      <c r="C8" s="84"/>
      <c r="D8" s="85"/>
      <c r="E8" s="84"/>
      <c r="F8" s="93"/>
      <c r="G8" s="238"/>
      <c r="H8" s="238"/>
      <c r="I8" s="95"/>
      <c r="J8" s="113"/>
      <c r="K8" s="97"/>
      <c r="L8" s="114"/>
      <c r="M8" s="98"/>
      <c r="N8" s="50"/>
      <c r="O8" s="50"/>
      <c r="P8" s="50"/>
      <c r="Q8" s="50"/>
      <c r="R8" s="104"/>
    </row>
    <row r="9" spans="2:18" ht="13" x14ac:dyDescent="0.3">
      <c r="B9" s="115"/>
      <c r="C9" s="84"/>
      <c r="D9" s="85"/>
      <c r="E9" s="84"/>
      <c r="F9" s="93"/>
      <c r="G9" s="94"/>
      <c r="H9" s="94"/>
      <c r="I9" s="116"/>
      <c r="J9" s="117"/>
      <c r="K9" s="118"/>
      <c r="L9" s="119"/>
      <c r="M9" s="98"/>
      <c r="N9" s="50"/>
      <c r="O9" s="50"/>
      <c r="P9" s="50"/>
      <c r="Q9" s="50"/>
      <c r="R9" s="104"/>
    </row>
    <row r="10" spans="2:18" ht="13.5" thickBot="1" x14ac:dyDescent="0.35">
      <c r="B10" s="9"/>
      <c r="D10" s="1"/>
      <c r="E10" s="120"/>
      <c r="F10" s="121"/>
      <c r="G10" s="122"/>
      <c r="H10" s="123"/>
      <c r="I10" s="124"/>
      <c r="J10" s="125"/>
      <c r="K10" s="125"/>
      <c r="L10" s="126"/>
      <c r="M10" s="127"/>
      <c r="R10" s="128"/>
    </row>
    <row r="11" spans="2:18" ht="13" x14ac:dyDescent="0.3">
      <c r="B11" s="129" t="s">
        <v>83</v>
      </c>
      <c r="E11" s="120"/>
      <c r="L11" s="133"/>
      <c r="M11" s="1"/>
      <c r="N11" s="1"/>
      <c r="O11" s="1"/>
      <c r="P11" s="1"/>
      <c r="Q11" s="1"/>
      <c r="R11" s="104"/>
    </row>
    <row r="12" spans="2:18" x14ac:dyDescent="0.25">
      <c r="E12" s="120"/>
      <c r="L12" s="133"/>
      <c r="R12" s="134" t="s">
        <v>61</v>
      </c>
    </row>
    <row r="13" spans="2:18" ht="13" x14ac:dyDescent="0.3">
      <c r="E13" s="120"/>
      <c r="F13" s="135"/>
      <c r="G13" s="136"/>
      <c r="H13" s="136"/>
      <c r="I13" s="137" t="s">
        <v>59</v>
      </c>
      <c r="J13" s="138">
        <f t="shared" ref="J13:R13" si="0">SUM(J56:J211)</f>
        <v>174408.38089659472</v>
      </c>
      <c r="K13" s="138">
        <f t="shared" si="0"/>
        <v>223386.69030931304</v>
      </c>
      <c r="L13" s="139">
        <f t="shared" si="0"/>
        <v>-48978.309412718372</v>
      </c>
      <c r="M13" s="140">
        <f t="shared" si="0"/>
        <v>-3934.4974227981374</v>
      </c>
      <c r="N13" s="138">
        <f t="shared" si="0"/>
        <v>-52912.80683551656</v>
      </c>
      <c r="O13" s="138">
        <f>SUM(O56:O211)</f>
        <v>0</v>
      </c>
      <c r="P13" s="138">
        <f t="shared" si="0"/>
        <v>0</v>
      </c>
      <c r="Q13" s="138">
        <v>0</v>
      </c>
      <c r="R13" s="139">
        <f t="shared" si="0"/>
        <v>-52912.80683551656</v>
      </c>
    </row>
    <row r="14" spans="2:18" ht="13" x14ac:dyDescent="0.3">
      <c r="E14" s="120"/>
      <c r="F14" s="141"/>
      <c r="G14" s="141"/>
      <c r="H14" s="141"/>
      <c r="I14" s="142" t="s">
        <v>60</v>
      </c>
      <c r="J14" s="138">
        <f>SUM(J20:J211)</f>
        <v>660482.17150767986</v>
      </c>
      <c r="K14" s="138">
        <f>SUM(K20:K211)</f>
        <v>845962.36455452198</v>
      </c>
      <c r="L14" s="139">
        <f>SUM(L20:L211)</f>
        <v>-185480.19304684064</v>
      </c>
      <c r="M14" s="201">
        <v>-14899.888343908271</v>
      </c>
      <c r="N14" s="138">
        <f>SUM(N20:N211)</f>
        <v>-200380.08139074917</v>
      </c>
      <c r="O14" s="138">
        <f>SUM(O20:O211)</f>
        <v>0</v>
      </c>
      <c r="P14" s="138">
        <f>SUM(P20:P211)</f>
        <v>0</v>
      </c>
      <c r="Q14" s="138">
        <v>0</v>
      </c>
      <c r="R14" s="139">
        <f>SUM(R20:R211)</f>
        <v>-200380.08139074917</v>
      </c>
    </row>
    <row r="15" spans="2:18" x14ac:dyDescent="0.25">
      <c r="B15" s="143" t="s">
        <v>85</v>
      </c>
      <c r="E15" s="120"/>
      <c r="J15" s="131"/>
      <c r="L15" s="133"/>
      <c r="M15" s="206"/>
      <c r="N15" s="144"/>
      <c r="O15" s="144"/>
      <c r="P15" s="144"/>
      <c r="Q15" s="144"/>
      <c r="R15" s="145" t="s">
        <v>20</v>
      </c>
    </row>
    <row r="16" spans="2:18" x14ac:dyDescent="0.25">
      <c r="B16" s="146" t="str">
        <f>"** Actual Trued-Up CY"&amp;R1&amp;" Charge reflects "&amp;R1&amp;" True-UP Rate x MW"</f>
        <v>** Actual Trued-Up CY2024 Charge reflects 2024 True-UP Rate x MW</v>
      </c>
      <c r="E16" s="120"/>
      <c r="F16" s="94"/>
      <c r="G16" s="5"/>
      <c r="J16" s="147"/>
      <c r="L16" s="148" t="s">
        <v>11</v>
      </c>
      <c r="M16" s="144"/>
      <c r="N16" s="144"/>
      <c r="O16" s="144"/>
      <c r="P16" s="144"/>
      <c r="Q16" s="144"/>
      <c r="R16" s="149"/>
    </row>
    <row r="17" spans="1:18" x14ac:dyDescent="0.25">
      <c r="B17" s="150" t="s">
        <v>63</v>
      </c>
      <c r="E17" s="120"/>
      <c r="I17" s="151"/>
      <c r="J17" s="152"/>
      <c r="K17" s="153"/>
      <c r="L17" s="153"/>
      <c r="M17" s="153"/>
      <c r="N17" s="153"/>
      <c r="O17" s="153"/>
      <c r="P17" s="153"/>
      <c r="Q17" s="153"/>
      <c r="R17" s="154"/>
    </row>
    <row r="18" spans="1:18" ht="3.65" customHeight="1" x14ac:dyDescent="0.25">
      <c r="I18" s="155"/>
      <c r="J18" s="152"/>
      <c r="K18" s="155"/>
      <c r="L18" s="155"/>
      <c r="M18" s="156"/>
      <c r="N18" s="156"/>
      <c r="O18" s="156"/>
      <c r="P18" s="156"/>
      <c r="Q18" s="156"/>
      <c r="R18" s="157"/>
    </row>
    <row r="19" spans="1:18" ht="38.25" customHeight="1" x14ac:dyDescent="0.25">
      <c r="B19" s="158" t="s">
        <v>54</v>
      </c>
      <c r="C19" s="207" t="s">
        <v>4</v>
      </c>
      <c r="D19" s="207" t="s">
        <v>5</v>
      </c>
      <c r="E19" s="208" t="s">
        <v>0</v>
      </c>
      <c r="F19" s="209" t="s">
        <v>12</v>
      </c>
      <c r="G19" s="210" t="s">
        <v>1</v>
      </c>
      <c r="H19" s="159" t="s">
        <v>49</v>
      </c>
      <c r="I19" s="159" t="s">
        <v>47</v>
      </c>
      <c r="J19" s="160" t="str">
        <f>"True-Up Charge"</f>
        <v>True-Up Charge</v>
      </c>
      <c r="K19" s="160" t="s">
        <v>48</v>
      </c>
      <c r="L19" s="161" t="s">
        <v>3</v>
      </c>
      <c r="M19" s="162" t="s">
        <v>7</v>
      </c>
      <c r="N19" s="163" t="s">
        <v>99</v>
      </c>
      <c r="O19" s="163" t="s">
        <v>87</v>
      </c>
      <c r="P19" s="163" t="s">
        <v>88</v>
      </c>
      <c r="Q19" s="163" t="s">
        <v>89</v>
      </c>
      <c r="R19" s="164" t="s">
        <v>2</v>
      </c>
    </row>
    <row r="20" spans="1:18" s="50" customFormat="1" ht="12.75" customHeight="1" x14ac:dyDescent="0.25">
      <c r="A20" s="94">
        <v>1</v>
      </c>
      <c r="B20" s="165">
        <f>DATE($R$1,A20,1)</f>
        <v>45292</v>
      </c>
      <c r="C20" s="202">
        <v>45327</v>
      </c>
      <c r="D20" s="202">
        <v>45348</v>
      </c>
      <c r="E20" s="166" t="s">
        <v>21</v>
      </c>
      <c r="F20" s="94">
        <v>9</v>
      </c>
      <c r="G20" s="167">
        <v>3252</v>
      </c>
      <c r="H20" s="168">
        <f>+$K$3</f>
        <v>8.3058817739101354</v>
      </c>
      <c r="I20" s="168">
        <f t="shared" ref="I20:I63" si="1">$J$3</f>
        <v>6.4847882839410547</v>
      </c>
      <c r="J20" s="169">
        <f t="shared" ref="J20:J108" si="2">+$G20*I20</f>
        <v>21088.53149937631</v>
      </c>
      <c r="K20" s="170">
        <f>+$G20*H20</f>
        <v>27010.72752875576</v>
      </c>
      <c r="L20" s="171">
        <f t="shared" ref="L20:L34" si="3">+J20-K20</f>
        <v>-5922.1960293794509</v>
      </c>
      <c r="M20" s="172">
        <f>G20/$G$212*$M$14</f>
        <v>-475.73845023013712</v>
      </c>
      <c r="N20" s="173">
        <f>SUM(L20:M20)</f>
        <v>-6397.9344796095884</v>
      </c>
      <c r="O20" s="172">
        <f>+$P$3</f>
        <v>0</v>
      </c>
      <c r="P20" s="172">
        <f>+G20*O20</f>
        <v>0</v>
      </c>
      <c r="Q20" s="172">
        <v>0</v>
      </c>
      <c r="R20" s="173">
        <f>+N20-Q20</f>
        <v>-6397.9344796095884</v>
      </c>
    </row>
    <row r="21" spans="1:18" x14ac:dyDescent="0.25">
      <c r="A21" s="130">
        <v>2</v>
      </c>
      <c r="B21" s="165">
        <f t="shared" ref="B21:B108" si="4">DATE($R$1,A21,1)</f>
        <v>45323</v>
      </c>
      <c r="C21" s="202">
        <v>45356</v>
      </c>
      <c r="D21" s="202">
        <v>45376</v>
      </c>
      <c r="E21" s="174" t="s">
        <v>21</v>
      </c>
      <c r="F21" s="130">
        <v>9</v>
      </c>
      <c r="G21" s="167">
        <v>2338</v>
      </c>
      <c r="H21" s="168">
        <f t="shared" ref="H21:H84" si="5">+$K$3</f>
        <v>8.3058817739101354</v>
      </c>
      <c r="I21" s="168">
        <f t="shared" si="1"/>
        <v>6.4847882839410547</v>
      </c>
      <c r="J21" s="169">
        <f t="shared" si="2"/>
        <v>15161.435007854187</v>
      </c>
      <c r="K21" s="170">
        <f t="shared" ref="K21:K33" si="6">+$G21*H21</f>
        <v>19419.151587401895</v>
      </c>
      <c r="L21" s="171">
        <f t="shared" si="3"/>
        <v>-4257.7165795477085</v>
      </c>
      <c r="M21" s="172">
        <f t="shared" ref="M21:M84" si="7">G21/$G$212*$M$14</f>
        <v>-342.02844300063367</v>
      </c>
      <c r="N21" s="173">
        <f t="shared" ref="N21:N84" si="8">SUM(L21:M21)</f>
        <v>-4599.7450225483426</v>
      </c>
      <c r="O21" s="172">
        <f t="shared" ref="O21:O84" si="9">+$P$3</f>
        <v>0</v>
      </c>
      <c r="P21" s="172">
        <f t="shared" ref="P21:P84" si="10">+G21*O21</f>
        <v>0</v>
      </c>
      <c r="Q21" s="172">
        <v>0</v>
      </c>
      <c r="R21" s="173">
        <f t="shared" ref="R21:R84" si="11">+N21-Q21</f>
        <v>-4599.7450225483426</v>
      </c>
    </row>
    <row r="22" spans="1:18" x14ac:dyDescent="0.25">
      <c r="A22" s="130">
        <v>3</v>
      </c>
      <c r="B22" s="165">
        <f t="shared" si="4"/>
        <v>45352</v>
      </c>
      <c r="C22" s="202">
        <v>45385</v>
      </c>
      <c r="D22" s="202">
        <v>45406</v>
      </c>
      <c r="E22" s="174" t="s">
        <v>21</v>
      </c>
      <c r="F22" s="130">
        <v>9</v>
      </c>
      <c r="G22" s="167">
        <v>2216</v>
      </c>
      <c r="H22" s="168">
        <f t="shared" si="5"/>
        <v>8.3058817739101354</v>
      </c>
      <c r="I22" s="168">
        <f t="shared" si="1"/>
        <v>6.4847882839410547</v>
      </c>
      <c r="J22" s="169">
        <f t="shared" si="2"/>
        <v>14370.290837213377</v>
      </c>
      <c r="K22" s="170">
        <f t="shared" si="6"/>
        <v>18405.834010984861</v>
      </c>
      <c r="L22" s="171">
        <f t="shared" si="3"/>
        <v>-4035.5431737714844</v>
      </c>
      <c r="M22" s="172">
        <f t="shared" si="7"/>
        <v>-324.18093656518568</v>
      </c>
      <c r="N22" s="173">
        <f t="shared" si="8"/>
        <v>-4359.7241103366705</v>
      </c>
      <c r="O22" s="172">
        <f t="shared" si="9"/>
        <v>0</v>
      </c>
      <c r="P22" s="172">
        <f t="shared" si="10"/>
        <v>0</v>
      </c>
      <c r="Q22" s="172">
        <v>0</v>
      </c>
      <c r="R22" s="173">
        <f t="shared" si="11"/>
        <v>-4359.7241103366705</v>
      </c>
    </row>
    <row r="23" spans="1:18" x14ac:dyDescent="0.25">
      <c r="A23" s="94">
        <v>4</v>
      </c>
      <c r="B23" s="165">
        <f t="shared" si="4"/>
        <v>45383</v>
      </c>
      <c r="C23" s="202">
        <v>45415</v>
      </c>
      <c r="D23" s="202">
        <v>45436</v>
      </c>
      <c r="E23" s="174" t="s">
        <v>21</v>
      </c>
      <c r="F23" s="130">
        <v>9</v>
      </c>
      <c r="G23" s="167">
        <v>2777</v>
      </c>
      <c r="H23" s="168">
        <f t="shared" si="5"/>
        <v>8.3058817739101354</v>
      </c>
      <c r="I23" s="168">
        <f t="shared" si="1"/>
        <v>6.4847882839410547</v>
      </c>
      <c r="J23" s="169">
        <f t="shared" si="2"/>
        <v>18008.257064504309</v>
      </c>
      <c r="K23" s="170">
        <f t="shared" si="6"/>
        <v>23065.433686148444</v>
      </c>
      <c r="L23" s="171">
        <f t="shared" si="3"/>
        <v>-5057.1766216441356</v>
      </c>
      <c r="M23" s="172">
        <f t="shared" si="7"/>
        <v>-406.25020796097505</v>
      </c>
      <c r="N23" s="173">
        <f t="shared" si="8"/>
        <v>-5463.4268296051105</v>
      </c>
      <c r="O23" s="172">
        <f t="shared" si="9"/>
        <v>0</v>
      </c>
      <c r="P23" s="172">
        <f t="shared" si="10"/>
        <v>0</v>
      </c>
      <c r="Q23" s="172">
        <v>0</v>
      </c>
      <c r="R23" s="173">
        <f t="shared" si="11"/>
        <v>-5463.4268296051105</v>
      </c>
    </row>
    <row r="24" spans="1:18" ht="12" customHeight="1" x14ac:dyDescent="0.25">
      <c r="A24" s="130">
        <v>5</v>
      </c>
      <c r="B24" s="165">
        <f t="shared" si="4"/>
        <v>45413</v>
      </c>
      <c r="C24" s="202">
        <v>45448</v>
      </c>
      <c r="D24" s="202">
        <v>45467</v>
      </c>
      <c r="E24" s="52" t="s">
        <v>21</v>
      </c>
      <c r="F24" s="130">
        <v>9</v>
      </c>
      <c r="G24" s="167">
        <v>3245</v>
      </c>
      <c r="H24" s="168">
        <f t="shared" si="5"/>
        <v>8.3058817739101354</v>
      </c>
      <c r="I24" s="168">
        <f t="shared" si="1"/>
        <v>6.4847882839410547</v>
      </c>
      <c r="J24" s="169">
        <f t="shared" si="2"/>
        <v>21043.137981388722</v>
      </c>
      <c r="K24" s="170">
        <f t="shared" si="6"/>
        <v>26952.58635633839</v>
      </c>
      <c r="L24" s="171">
        <f t="shared" si="3"/>
        <v>-5909.4483749496685</v>
      </c>
      <c r="M24" s="172">
        <f t="shared" si="7"/>
        <v>-474.71441297564417</v>
      </c>
      <c r="N24" s="173">
        <f t="shared" si="8"/>
        <v>-6384.1627879253128</v>
      </c>
      <c r="O24" s="172">
        <f t="shared" si="9"/>
        <v>0</v>
      </c>
      <c r="P24" s="172">
        <f t="shared" si="10"/>
        <v>0</v>
      </c>
      <c r="Q24" s="172">
        <v>0</v>
      </c>
      <c r="R24" s="173">
        <f t="shared" si="11"/>
        <v>-6384.1627879253128</v>
      </c>
    </row>
    <row r="25" spans="1:18" x14ac:dyDescent="0.25">
      <c r="A25" s="130">
        <v>6</v>
      </c>
      <c r="B25" s="165">
        <f t="shared" si="4"/>
        <v>45444</v>
      </c>
      <c r="C25" s="202">
        <v>45476</v>
      </c>
      <c r="D25" s="202">
        <v>45497</v>
      </c>
      <c r="E25" s="52" t="s">
        <v>21</v>
      </c>
      <c r="F25" s="130">
        <v>9</v>
      </c>
      <c r="G25" s="167">
        <v>4080</v>
      </c>
      <c r="H25" s="168">
        <f t="shared" si="5"/>
        <v>8.3058817739101354</v>
      </c>
      <c r="I25" s="168">
        <f t="shared" si="1"/>
        <v>6.4847882839410547</v>
      </c>
      <c r="J25" s="169">
        <f t="shared" si="2"/>
        <v>26457.936198479503</v>
      </c>
      <c r="K25" s="170">
        <f t="shared" si="6"/>
        <v>33887.997637553352</v>
      </c>
      <c r="L25" s="175">
        <f t="shared" si="3"/>
        <v>-7430.0614390738483</v>
      </c>
      <c r="M25" s="172">
        <f t="shared" si="7"/>
        <v>-596.86742833301332</v>
      </c>
      <c r="N25" s="173">
        <f t="shared" si="8"/>
        <v>-8026.9288674068612</v>
      </c>
      <c r="O25" s="172">
        <f t="shared" si="9"/>
        <v>0</v>
      </c>
      <c r="P25" s="172">
        <f t="shared" si="10"/>
        <v>0</v>
      </c>
      <c r="Q25" s="172">
        <v>0</v>
      </c>
      <c r="R25" s="173">
        <f t="shared" si="11"/>
        <v>-8026.9288674068612</v>
      </c>
    </row>
    <row r="26" spans="1:18" x14ac:dyDescent="0.25">
      <c r="A26" s="94">
        <v>7</v>
      </c>
      <c r="B26" s="165">
        <f t="shared" si="4"/>
        <v>45474</v>
      </c>
      <c r="C26" s="202">
        <v>45509</v>
      </c>
      <c r="D26" s="202">
        <v>45530</v>
      </c>
      <c r="E26" s="52" t="s">
        <v>21</v>
      </c>
      <c r="F26" s="130">
        <v>9</v>
      </c>
      <c r="G26" s="167">
        <v>4149</v>
      </c>
      <c r="H26" s="168">
        <f t="shared" si="5"/>
        <v>8.3058817739101354</v>
      </c>
      <c r="I26" s="168">
        <f t="shared" si="1"/>
        <v>6.4847882839410547</v>
      </c>
      <c r="J26" s="169">
        <f t="shared" si="2"/>
        <v>26905.386590071437</v>
      </c>
      <c r="K26" s="176">
        <f t="shared" si="6"/>
        <v>34461.103479953148</v>
      </c>
      <c r="L26" s="175">
        <f t="shared" si="3"/>
        <v>-7555.7168898817108</v>
      </c>
      <c r="M26" s="172">
        <f t="shared" si="7"/>
        <v>-606.96150984158635</v>
      </c>
      <c r="N26" s="173">
        <f t="shared" si="8"/>
        <v>-8162.6783997232969</v>
      </c>
      <c r="O26" s="172">
        <f t="shared" si="9"/>
        <v>0</v>
      </c>
      <c r="P26" s="172">
        <f t="shared" si="10"/>
        <v>0</v>
      </c>
      <c r="Q26" s="172">
        <v>0</v>
      </c>
      <c r="R26" s="173">
        <f t="shared" si="11"/>
        <v>-8162.6783997232969</v>
      </c>
    </row>
    <row r="27" spans="1:18" x14ac:dyDescent="0.25">
      <c r="A27" s="130">
        <v>8</v>
      </c>
      <c r="B27" s="165">
        <f t="shared" si="4"/>
        <v>45505</v>
      </c>
      <c r="C27" s="202">
        <v>45539</v>
      </c>
      <c r="D27" s="202">
        <v>45559</v>
      </c>
      <c r="E27" s="52" t="s">
        <v>21</v>
      </c>
      <c r="F27" s="130">
        <v>9</v>
      </c>
      <c r="G27" s="167">
        <v>4151</v>
      </c>
      <c r="H27" s="168">
        <f t="shared" si="5"/>
        <v>8.3058817739101354</v>
      </c>
      <c r="I27" s="168">
        <f t="shared" si="1"/>
        <v>6.4847882839410547</v>
      </c>
      <c r="J27" s="169">
        <f t="shared" si="2"/>
        <v>26918.356166639318</v>
      </c>
      <c r="K27" s="176">
        <f t="shared" si="6"/>
        <v>34477.71524350097</v>
      </c>
      <c r="L27" s="175">
        <f t="shared" si="3"/>
        <v>-7559.3590768616523</v>
      </c>
      <c r="M27" s="172">
        <f t="shared" si="7"/>
        <v>-607.25409191429867</v>
      </c>
      <c r="N27" s="173">
        <f t="shared" si="8"/>
        <v>-8166.6131687759507</v>
      </c>
      <c r="O27" s="172">
        <f t="shared" si="9"/>
        <v>0</v>
      </c>
      <c r="P27" s="172">
        <f t="shared" si="10"/>
        <v>0</v>
      </c>
      <c r="Q27" s="172">
        <v>0</v>
      </c>
      <c r="R27" s="173">
        <f t="shared" si="11"/>
        <v>-8166.6131687759507</v>
      </c>
    </row>
    <row r="28" spans="1:18" x14ac:dyDescent="0.25">
      <c r="A28" s="130">
        <v>9</v>
      </c>
      <c r="B28" s="165">
        <f t="shared" si="4"/>
        <v>45536</v>
      </c>
      <c r="C28" s="202">
        <v>45568</v>
      </c>
      <c r="D28" s="202">
        <v>45589</v>
      </c>
      <c r="E28" s="52" t="s">
        <v>21</v>
      </c>
      <c r="F28" s="130">
        <v>9</v>
      </c>
      <c r="G28" s="167">
        <v>3859</v>
      </c>
      <c r="H28" s="168">
        <f t="shared" si="5"/>
        <v>8.3058817739101354</v>
      </c>
      <c r="I28" s="168">
        <f t="shared" si="1"/>
        <v>6.4847882839410547</v>
      </c>
      <c r="J28" s="169">
        <f t="shared" si="2"/>
        <v>25024.797987728529</v>
      </c>
      <c r="K28" s="176">
        <f t="shared" si="6"/>
        <v>32052.397765519214</v>
      </c>
      <c r="L28" s="175">
        <f t="shared" si="3"/>
        <v>-7027.599777790685</v>
      </c>
      <c r="M28" s="172">
        <f t="shared" si="7"/>
        <v>-564.53710929830845</v>
      </c>
      <c r="N28" s="173">
        <f t="shared" si="8"/>
        <v>-7592.1368870889937</v>
      </c>
      <c r="O28" s="172">
        <f t="shared" si="9"/>
        <v>0</v>
      </c>
      <c r="P28" s="172">
        <f t="shared" si="10"/>
        <v>0</v>
      </c>
      <c r="Q28" s="172">
        <v>0</v>
      </c>
      <c r="R28" s="173">
        <f t="shared" si="11"/>
        <v>-7592.1368870889937</v>
      </c>
    </row>
    <row r="29" spans="1:18" x14ac:dyDescent="0.25">
      <c r="A29" s="94">
        <v>10</v>
      </c>
      <c r="B29" s="165">
        <f t="shared" si="4"/>
        <v>45566</v>
      </c>
      <c r="C29" s="202">
        <v>45601</v>
      </c>
      <c r="D29" s="202">
        <v>45621</v>
      </c>
      <c r="E29" s="52" t="s">
        <v>21</v>
      </c>
      <c r="F29" s="130">
        <v>9</v>
      </c>
      <c r="G29" s="167">
        <v>3429</v>
      </c>
      <c r="H29" s="168">
        <f t="shared" si="5"/>
        <v>8.3058817739101354</v>
      </c>
      <c r="I29" s="168">
        <f t="shared" si="1"/>
        <v>6.4847882839410547</v>
      </c>
      <c r="J29" s="169">
        <f t="shared" si="2"/>
        <v>22236.339025633875</v>
      </c>
      <c r="K29" s="176">
        <f t="shared" si="6"/>
        <v>28480.868602737854</v>
      </c>
      <c r="L29" s="175">
        <f t="shared" si="3"/>
        <v>-6244.5295771039782</v>
      </c>
      <c r="M29" s="172">
        <f t="shared" si="7"/>
        <v>-501.63196366517229</v>
      </c>
      <c r="N29" s="173">
        <f t="shared" si="8"/>
        <v>-6746.1615407691506</v>
      </c>
      <c r="O29" s="172">
        <f t="shared" si="9"/>
        <v>0</v>
      </c>
      <c r="P29" s="172">
        <f t="shared" si="10"/>
        <v>0</v>
      </c>
      <c r="Q29" s="172">
        <v>0</v>
      </c>
      <c r="R29" s="173">
        <f t="shared" si="11"/>
        <v>-6746.1615407691506</v>
      </c>
    </row>
    <row r="30" spans="1:18" x14ac:dyDescent="0.25">
      <c r="A30" s="130">
        <v>11</v>
      </c>
      <c r="B30" s="165">
        <f t="shared" si="4"/>
        <v>45597</v>
      </c>
      <c r="C30" s="202">
        <v>45630</v>
      </c>
      <c r="D30" s="202">
        <v>45650</v>
      </c>
      <c r="E30" s="52" t="s">
        <v>21</v>
      </c>
      <c r="F30" s="130">
        <v>9</v>
      </c>
      <c r="G30" s="167">
        <v>2220</v>
      </c>
      <c r="H30" s="168">
        <f t="shared" si="5"/>
        <v>8.3058817739101354</v>
      </c>
      <c r="I30" s="168">
        <f t="shared" si="1"/>
        <v>6.4847882839410547</v>
      </c>
      <c r="J30" s="169">
        <f t="shared" si="2"/>
        <v>14396.229990349142</v>
      </c>
      <c r="K30" s="176">
        <f t="shared" si="6"/>
        <v>18439.057538080502</v>
      </c>
      <c r="L30" s="175">
        <f t="shared" si="3"/>
        <v>-4042.82754773136</v>
      </c>
      <c r="M30" s="172">
        <f t="shared" si="7"/>
        <v>-324.7661007106102</v>
      </c>
      <c r="N30" s="173">
        <f t="shared" si="8"/>
        <v>-4367.5936484419699</v>
      </c>
      <c r="O30" s="172">
        <f t="shared" si="9"/>
        <v>0</v>
      </c>
      <c r="P30" s="172">
        <f t="shared" si="10"/>
        <v>0</v>
      </c>
      <c r="Q30" s="172">
        <v>0</v>
      </c>
      <c r="R30" s="173">
        <f t="shared" si="11"/>
        <v>-4367.5936484419699</v>
      </c>
    </row>
    <row r="31" spans="1:18" x14ac:dyDescent="0.25">
      <c r="A31" s="130">
        <v>12</v>
      </c>
      <c r="B31" s="165">
        <f t="shared" si="4"/>
        <v>45627</v>
      </c>
      <c r="C31" s="203">
        <v>45660</v>
      </c>
      <c r="D31" s="204">
        <v>45681</v>
      </c>
      <c r="E31" s="52" t="s">
        <v>21</v>
      </c>
      <c r="F31" s="130">
        <v>9</v>
      </c>
      <c r="G31" s="167">
        <v>2569</v>
      </c>
      <c r="H31" s="177">
        <f t="shared" si="5"/>
        <v>8.3058817739101354</v>
      </c>
      <c r="I31" s="177">
        <f t="shared" si="1"/>
        <v>6.4847882839410547</v>
      </c>
      <c r="J31" s="178">
        <f t="shared" si="2"/>
        <v>16659.421101444568</v>
      </c>
      <c r="K31" s="179">
        <f t="shared" si="6"/>
        <v>21337.810277175136</v>
      </c>
      <c r="L31" s="180">
        <f t="shared" si="3"/>
        <v>-4678.3891757305682</v>
      </c>
      <c r="M31" s="172">
        <f t="shared" si="7"/>
        <v>-375.82167239889981</v>
      </c>
      <c r="N31" s="173">
        <f t="shared" si="8"/>
        <v>-5054.2108481294681</v>
      </c>
      <c r="O31" s="172">
        <f t="shared" si="9"/>
        <v>0</v>
      </c>
      <c r="P31" s="172">
        <f t="shared" si="10"/>
        <v>0</v>
      </c>
      <c r="Q31" s="172">
        <v>0</v>
      </c>
      <c r="R31" s="173">
        <f t="shared" si="11"/>
        <v>-5054.2108481294681</v>
      </c>
    </row>
    <row r="32" spans="1:18" x14ac:dyDescent="0.25">
      <c r="A32" s="94">
        <v>1</v>
      </c>
      <c r="B32" s="181">
        <f t="shared" si="4"/>
        <v>45292</v>
      </c>
      <c r="C32" s="182">
        <f t="shared" ref="C32:D43" si="12">+C20</f>
        <v>45327</v>
      </c>
      <c r="D32" s="182">
        <f t="shared" si="12"/>
        <v>45348</v>
      </c>
      <c r="E32" s="183" t="s">
        <v>22</v>
      </c>
      <c r="F32" s="184">
        <v>9</v>
      </c>
      <c r="G32" s="167">
        <v>3306</v>
      </c>
      <c r="H32" s="168">
        <f t="shared" si="5"/>
        <v>8.3058817739101354</v>
      </c>
      <c r="I32" s="168">
        <f t="shared" si="1"/>
        <v>6.4847882839410547</v>
      </c>
      <c r="J32" s="169">
        <f t="shared" si="2"/>
        <v>21438.710066709125</v>
      </c>
      <c r="K32" s="170">
        <f t="shared" si="6"/>
        <v>27459.245144546909</v>
      </c>
      <c r="L32" s="171">
        <f t="shared" si="3"/>
        <v>-6020.5350778377833</v>
      </c>
      <c r="M32" s="172">
        <f t="shared" si="7"/>
        <v>-483.63816619336825</v>
      </c>
      <c r="N32" s="173">
        <f t="shared" si="8"/>
        <v>-6504.1732440311516</v>
      </c>
      <c r="O32" s="172">
        <f t="shared" si="9"/>
        <v>0</v>
      </c>
      <c r="P32" s="172">
        <f t="shared" si="10"/>
        <v>0</v>
      </c>
      <c r="Q32" s="172">
        <v>0</v>
      </c>
      <c r="R32" s="173">
        <f t="shared" si="11"/>
        <v>-6504.1732440311516</v>
      </c>
    </row>
    <row r="33" spans="1:18" x14ac:dyDescent="0.25">
      <c r="A33" s="130">
        <v>2</v>
      </c>
      <c r="B33" s="165">
        <f t="shared" si="4"/>
        <v>45323</v>
      </c>
      <c r="C33" s="185">
        <f t="shared" si="12"/>
        <v>45356</v>
      </c>
      <c r="D33" s="185">
        <f t="shared" si="12"/>
        <v>45376</v>
      </c>
      <c r="E33" s="174" t="s">
        <v>22</v>
      </c>
      <c r="F33" s="130">
        <v>9</v>
      </c>
      <c r="G33" s="167">
        <v>2611</v>
      </c>
      <c r="H33" s="168">
        <f t="shared" si="5"/>
        <v>8.3058817739101354</v>
      </c>
      <c r="I33" s="168">
        <f t="shared" si="1"/>
        <v>6.4847882839410547</v>
      </c>
      <c r="J33" s="169">
        <f t="shared" si="2"/>
        <v>16931.782209370092</v>
      </c>
      <c r="K33" s="170">
        <f t="shared" si="6"/>
        <v>21686.657311679362</v>
      </c>
      <c r="L33" s="171">
        <f t="shared" si="3"/>
        <v>-4754.87510230927</v>
      </c>
      <c r="M33" s="172">
        <f t="shared" si="7"/>
        <v>-381.9658959258573</v>
      </c>
      <c r="N33" s="173">
        <f t="shared" si="8"/>
        <v>-5136.8409982351277</v>
      </c>
      <c r="O33" s="172">
        <f t="shared" si="9"/>
        <v>0</v>
      </c>
      <c r="P33" s="172">
        <f t="shared" si="10"/>
        <v>0</v>
      </c>
      <c r="Q33" s="172">
        <v>0</v>
      </c>
      <c r="R33" s="173">
        <f t="shared" si="11"/>
        <v>-5136.8409982351277</v>
      </c>
    </row>
    <row r="34" spans="1:18" x14ac:dyDescent="0.25">
      <c r="A34" s="130">
        <v>3</v>
      </c>
      <c r="B34" s="165">
        <f t="shared" si="4"/>
        <v>45352</v>
      </c>
      <c r="C34" s="185">
        <f t="shared" si="12"/>
        <v>45385</v>
      </c>
      <c r="D34" s="185">
        <f t="shared" si="12"/>
        <v>45406</v>
      </c>
      <c r="E34" s="174" t="s">
        <v>22</v>
      </c>
      <c r="F34" s="130">
        <v>9</v>
      </c>
      <c r="G34" s="167">
        <v>2302</v>
      </c>
      <c r="H34" s="168">
        <f t="shared" si="5"/>
        <v>8.3058817739101354</v>
      </c>
      <c r="I34" s="168">
        <f t="shared" si="1"/>
        <v>6.4847882839410547</v>
      </c>
      <c r="J34" s="169">
        <f t="shared" si="2"/>
        <v>14927.982629632308</v>
      </c>
      <c r="K34" s="170">
        <f t="shared" ref="K34:K93" si="13">+$G34*H34</f>
        <v>19120.139843541132</v>
      </c>
      <c r="L34" s="171">
        <f t="shared" si="3"/>
        <v>-4192.1572139088239</v>
      </c>
      <c r="M34" s="172">
        <f t="shared" si="7"/>
        <v>-336.76196569181292</v>
      </c>
      <c r="N34" s="173">
        <f t="shared" si="8"/>
        <v>-4528.9191796006371</v>
      </c>
      <c r="O34" s="172">
        <f t="shared" si="9"/>
        <v>0</v>
      </c>
      <c r="P34" s="172">
        <f t="shared" si="10"/>
        <v>0</v>
      </c>
      <c r="Q34" s="172">
        <v>0</v>
      </c>
      <c r="R34" s="173">
        <f t="shared" si="11"/>
        <v>-4528.9191796006371</v>
      </c>
    </row>
    <row r="35" spans="1:18" x14ac:dyDescent="0.25">
      <c r="A35" s="94">
        <v>4</v>
      </c>
      <c r="B35" s="165">
        <f t="shared" si="4"/>
        <v>45383</v>
      </c>
      <c r="C35" s="185">
        <f t="shared" si="12"/>
        <v>45415</v>
      </c>
      <c r="D35" s="185">
        <f t="shared" si="12"/>
        <v>45436</v>
      </c>
      <c r="E35" s="174" t="s">
        <v>22</v>
      </c>
      <c r="F35" s="130">
        <v>9</v>
      </c>
      <c r="G35" s="167">
        <v>2486</v>
      </c>
      <c r="H35" s="168">
        <f t="shared" si="5"/>
        <v>8.3058817739101354</v>
      </c>
      <c r="I35" s="168">
        <f t="shared" si="1"/>
        <v>6.4847882839410547</v>
      </c>
      <c r="J35" s="169">
        <f t="shared" si="2"/>
        <v>16121.183673877462</v>
      </c>
      <c r="K35" s="170">
        <f t="shared" si="13"/>
        <v>20648.422089940595</v>
      </c>
      <c r="L35" s="171">
        <f t="shared" ref="L35:L57" si="14">+J35-K35</f>
        <v>-4527.2384160631336</v>
      </c>
      <c r="M35" s="172">
        <f t="shared" si="7"/>
        <v>-363.67951638134099</v>
      </c>
      <c r="N35" s="173">
        <f t="shared" si="8"/>
        <v>-4890.9179324444749</v>
      </c>
      <c r="O35" s="172">
        <f t="shared" si="9"/>
        <v>0</v>
      </c>
      <c r="P35" s="172">
        <f t="shared" si="10"/>
        <v>0</v>
      </c>
      <c r="Q35" s="172">
        <v>0</v>
      </c>
      <c r="R35" s="173">
        <f t="shared" si="11"/>
        <v>-4890.9179324444749</v>
      </c>
    </row>
    <row r="36" spans="1:18" x14ac:dyDescent="0.25">
      <c r="A36" s="130">
        <v>5</v>
      </c>
      <c r="B36" s="165">
        <f t="shared" si="4"/>
        <v>45413</v>
      </c>
      <c r="C36" s="185">
        <f t="shared" si="12"/>
        <v>45448</v>
      </c>
      <c r="D36" s="185">
        <f t="shared" si="12"/>
        <v>45467</v>
      </c>
      <c r="E36" s="52" t="s">
        <v>22</v>
      </c>
      <c r="F36" s="130">
        <v>9</v>
      </c>
      <c r="G36" s="167">
        <v>2970</v>
      </c>
      <c r="H36" s="168">
        <f t="shared" si="5"/>
        <v>8.3058817739101354</v>
      </c>
      <c r="I36" s="168">
        <f t="shared" si="1"/>
        <v>6.4847882839410547</v>
      </c>
      <c r="J36" s="169">
        <f t="shared" si="2"/>
        <v>19259.821203304931</v>
      </c>
      <c r="K36" s="170">
        <f t="shared" si="13"/>
        <v>24668.4688685131</v>
      </c>
      <c r="L36" s="171">
        <f t="shared" si="14"/>
        <v>-5408.6476652081692</v>
      </c>
      <c r="M36" s="172">
        <f t="shared" si="7"/>
        <v>-434.48437797770828</v>
      </c>
      <c r="N36" s="173">
        <f t="shared" si="8"/>
        <v>-5843.1320431858776</v>
      </c>
      <c r="O36" s="172">
        <f t="shared" si="9"/>
        <v>0</v>
      </c>
      <c r="P36" s="172">
        <f t="shared" si="10"/>
        <v>0</v>
      </c>
      <c r="Q36" s="172">
        <v>0</v>
      </c>
      <c r="R36" s="173">
        <f t="shared" si="11"/>
        <v>-5843.1320431858776</v>
      </c>
    </row>
    <row r="37" spans="1:18" x14ac:dyDescent="0.25">
      <c r="A37" s="130">
        <v>6</v>
      </c>
      <c r="B37" s="165">
        <f t="shared" si="4"/>
        <v>45444</v>
      </c>
      <c r="C37" s="185">
        <f t="shared" si="12"/>
        <v>45476</v>
      </c>
      <c r="D37" s="185">
        <f t="shared" si="12"/>
        <v>45497</v>
      </c>
      <c r="E37" s="52" t="s">
        <v>22</v>
      </c>
      <c r="F37" s="130">
        <v>9</v>
      </c>
      <c r="G37" s="167">
        <v>3483</v>
      </c>
      <c r="H37" s="168">
        <f t="shared" si="5"/>
        <v>8.3058817739101354</v>
      </c>
      <c r="I37" s="168">
        <f t="shared" si="1"/>
        <v>6.4847882839410547</v>
      </c>
      <c r="J37" s="169">
        <f t="shared" si="2"/>
        <v>22586.517592966695</v>
      </c>
      <c r="K37" s="170">
        <f t="shared" si="13"/>
        <v>28929.386218529002</v>
      </c>
      <c r="L37" s="175">
        <f t="shared" si="14"/>
        <v>-6342.868625562307</v>
      </c>
      <c r="M37" s="172">
        <f t="shared" si="7"/>
        <v>-509.53167962840331</v>
      </c>
      <c r="N37" s="173">
        <f t="shared" si="8"/>
        <v>-6852.4003051907102</v>
      </c>
      <c r="O37" s="172">
        <f t="shared" si="9"/>
        <v>0</v>
      </c>
      <c r="P37" s="172">
        <f t="shared" si="10"/>
        <v>0</v>
      </c>
      <c r="Q37" s="172">
        <v>0</v>
      </c>
      <c r="R37" s="173">
        <f t="shared" si="11"/>
        <v>-6852.4003051907102</v>
      </c>
    </row>
    <row r="38" spans="1:18" x14ac:dyDescent="0.25">
      <c r="A38" s="94">
        <v>7</v>
      </c>
      <c r="B38" s="165">
        <f t="shared" si="4"/>
        <v>45474</v>
      </c>
      <c r="C38" s="185">
        <f t="shared" si="12"/>
        <v>45509</v>
      </c>
      <c r="D38" s="185">
        <f t="shared" si="12"/>
        <v>45530</v>
      </c>
      <c r="E38" s="52" t="s">
        <v>22</v>
      </c>
      <c r="F38" s="130">
        <v>9</v>
      </c>
      <c r="G38" s="167">
        <v>3510</v>
      </c>
      <c r="H38" s="168">
        <f t="shared" si="5"/>
        <v>8.3058817739101354</v>
      </c>
      <c r="I38" s="168">
        <f t="shared" si="1"/>
        <v>6.4847882839410547</v>
      </c>
      <c r="J38" s="169">
        <f t="shared" si="2"/>
        <v>22761.606876633101</v>
      </c>
      <c r="K38" s="176">
        <f t="shared" si="13"/>
        <v>29153.645026424576</v>
      </c>
      <c r="L38" s="175">
        <f t="shared" si="14"/>
        <v>-6392.038149791475</v>
      </c>
      <c r="M38" s="172">
        <f t="shared" si="7"/>
        <v>-513.48153761001879</v>
      </c>
      <c r="N38" s="173">
        <f t="shared" si="8"/>
        <v>-6905.5196874014937</v>
      </c>
      <c r="O38" s="172">
        <f t="shared" si="9"/>
        <v>0</v>
      </c>
      <c r="P38" s="172">
        <f t="shared" si="10"/>
        <v>0</v>
      </c>
      <c r="Q38" s="172">
        <v>0</v>
      </c>
      <c r="R38" s="173">
        <f t="shared" si="11"/>
        <v>-6905.5196874014937</v>
      </c>
    </row>
    <row r="39" spans="1:18" x14ac:dyDescent="0.25">
      <c r="A39" s="130">
        <v>8</v>
      </c>
      <c r="B39" s="165">
        <f t="shared" si="4"/>
        <v>45505</v>
      </c>
      <c r="C39" s="185">
        <f t="shared" si="12"/>
        <v>45539</v>
      </c>
      <c r="D39" s="185">
        <f t="shared" si="12"/>
        <v>45559</v>
      </c>
      <c r="E39" s="52" t="s">
        <v>22</v>
      </c>
      <c r="F39" s="130">
        <v>9</v>
      </c>
      <c r="G39" s="167">
        <v>3574</v>
      </c>
      <c r="H39" s="168">
        <f t="shared" si="5"/>
        <v>8.3058817739101354</v>
      </c>
      <c r="I39" s="168">
        <f t="shared" si="1"/>
        <v>6.4847882839410547</v>
      </c>
      <c r="J39" s="169">
        <f t="shared" si="2"/>
        <v>23176.633326805328</v>
      </c>
      <c r="K39" s="176">
        <f t="shared" si="13"/>
        <v>29685.221459954824</v>
      </c>
      <c r="L39" s="175">
        <f t="shared" si="14"/>
        <v>-6508.5881331494966</v>
      </c>
      <c r="M39" s="172">
        <f t="shared" si="7"/>
        <v>-522.84416393681124</v>
      </c>
      <c r="N39" s="173">
        <f t="shared" si="8"/>
        <v>-7031.4322970863077</v>
      </c>
      <c r="O39" s="172">
        <f t="shared" si="9"/>
        <v>0</v>
      </c>
      <c r="P39" s="172">
        <f t="shared" si="10"/>
        <v>0</v>
      </c>
      <c r="Q39" s="172">
        <v>0</v>
      </c>
      <c r="R39" s="173">
        <f t="shared" si="11"/>
        <v>-7031.4322970863077</v>
      </c>
    </row>
    <row r="40" spans="1:18" x14ac:dyDescent="0.25">
      <c r="A40" s="130">
        <v>9</v>
      </c>
      <c r="B40" s="165">
        <f t="shared" si="4"/>
        <v>45536</v>
      </c>
      <c r="C40" s="185">
        <f t="shared" si="12"/>
        <v>45568</v>
      </c>
      <c r="D40" s="185">
        <f t="shared" si="12"/>
        <v>45589</v>
      </c>
      <c r="E40" s="52" t="s">
        <v>22</v>
      </c>
      <c r="F40" s="130">
        <v>9</v>
      </c>
      <c r="G40" s="167">
        <v>3188</v>
      </c>
      <c r="H40" s="168">
        <f t="shared" si="5"/>
        <v>8.3058817739101354</v>
      </c>
      <c r="I40" s="168">
        <f t="shared" si="1"/>
        <v>6.4847882839410547</v>
      </c>
      <c r="J40" s="169">
        <f t="shared" si="2"/>
        <v>20673.505049204083</v>
      </c>
      <c r="K40" s="176">
        <f t="shared" si="13"/>
        <v>26479.151095225512</v>
      </c>
      <c r="L40" s="175">
        <f t="shared" si="14"/>
        <v>-5805.6460460214294</v>
      </c>
      <c r="M40" s="172">
        <f t="shared" si="7"/>
        <v>-466.37582390334472</v>
      </c>
      <c r="N40" s="173">
        <f t="shared" si="8"/>
        <v>-6272.0218699247744</v>
      </c>
      <c r="O40" s="172">
        <f t="shared" si="9"/>
        <v>0</v>
      </c>
      <c r="P40" s="172">
        <f t="shared" si="10"/>
        <v>0</v>
      </c>
      <c r="Q40" s="172">
        <v>0</v>
      </c>
      <c r="R40" s="173">
        <f t="shared" si="11"/>
        <v>-6272.0218699247744</v>
      </c>
    </row>
    <row r="41" spans="1:18" x14ac:dyDescent="0.25">
      <c r="A41" s="94">
        <v>10</v>
      </c>
      <c r="B41" s="165">
        <f t="shared" si="4"/>
        <v>45566</v>
      </c>
      <c r="C41" s="185">
        <f t="shared" si="12"/>
        <v>45601</v>
      </c>
      <c r="D41" s="185">
        <f t="shared" si="12"/>
        <v>45621</v>
      </c>
      <c r="E41" s="52" t="s">
        <v>22</v>
      </c>
      <c r="F41" s="130">
        <v>9</v>
      </c>
      <c r="G41" s="167">
        <v>2793</v>
      </c>
      <c r="H41" s="168">
        <f t="shared" si="5"/>
        <v>8.3058817739101354</v>
      </c>
      <c r="I41" s="168">
        <f t="shared" si="1"/>
        <v>6.4847882839410547</v>
      </c>
      <c r="J41" s="169">
        <f t="shared" si="2"/>
        <v>18112.013677047365</v>
      </c>
      <c r="K41" s="176">
        <f t="shared" si="13"/>
        <v>23198.327794531007</v>
      </c>
      <c r="L41" s="175">
        <f t="shared" si="14"/>
        <v>-5086.3141174836419</v>
      </c>
      <c r="M41" s="172">
        <f t="shared" si="7"/>
        <v>-408.59086454267316</v>
      </c>
      <c r="N41" s="173">
        <f t="shared" si="8"/>
        <v>-5494.9049820263153</v>
      </c>
      <c r="O41" s="172">
        <f t="shared" si="9"/>
        <v>0</v>
      </c>
      <c r="P41" s="172">
        <f t="shared" si="10"/>
        <v>0</v>
      </c>
      <c r="Q41" s="172">
        <v>0</v>
      </c>
      <c r="R41" s="173">
        <f t="shared" si="11"/>
        <v>-5494.9049820263153</v>
      </c>
    </row>
    <row r="42" spans="1:18" x14ac:dyDescent="0.25">
      <c r="A42" s="130">
        <v>11</v>
      </c>
      <c r="B42" s="165">
        <f t="shared" si="4"/>
        <v>45597</v>
      </c>
      <c r="C42" s="185">
        <f t="shared" si="12"/>
        <v>45630</v>
      </c>
      <c r="D42" s="185">
        <f t="shared" si="12"/>
        <v>45650</v>
      </c>
      <c r="E42" s="52" t="s">
        <v>22</v>
      </c>
      <c r="F42" s="130">
        <v>9</v>
      </c>
      <c r="G42" s="167">
        <v>2339</v>
      </c>
      <c r="H42" s="168">
        <f t="shared" si="5"/>
        <v>8.3058817739101354</v>
      </c>
      <c r="I42" s="168">
        <f t="shared" si="1"/>
        <v>6.4847882839410547</v>
      </c>
      <c r="J42" s="169">
        <f t="shared" si="2"/>
        <v>15167.919796138127</v>
      </c>
      <c r="K42" s="176">
        <f t="shared" si="13"/>
        <v>19427.457469175806</v>
      </c>
      <c r="L42" s="175">
        <f t="shared" si="14"/>
        <v>-4259.5376730376793</v>
      </c>
      <c r="M42" s="172">
        <f t="shared" si="7"/>
        <v>-342.17473403698978</v>
      </c>
      <c r="N42" s="173">
        <f t="shared" si="8"/>
        <v>-4601.7124070746686</v>
      </c>
      <c r="O42" s="172">
        <f t="shared" si="9"/>
        <v>0</v>
      </c>
      <c r="P42" s="172">
        <f t="shared" si="10"/>
        <v>0</v>
      </c>
      <c r="Q42" s="172">
        <v>0</v>
      </c>
      <c r="R42" s="173">
        <f t="shared" si="11"/>
        <v>-4601.7124070746686</v>
      </c>
    </row>
    <row r="43" spans="1:18" x14ac:dyDescent="0.25">
      <c r="A43" s="130">
        <v>12</v>
      </c>
      <c r="B43" s="165">
        <f t="shared" si="4"/>
        <v>45627</v>
      </c>
      <c r="C43" s="185">
        <f t="shared" si="12"/>
        <v>45660</v>
      </c>
      <c r="D43" s="185">
        <f t="shared" si="12"/>
        <v>45681</v>
      </c>
      <c r="E43" s="52" t="s">
        <v>22</v>
      </c>
      <c r="F43" s="130">
        <v>9</v>
      </c>
      <c r="G43" s="167">
        <v>2520</v>
      </c>
      <c r="H43" s="177">
        <f t="shared" si="5"/>
        <v>8.3058817739101354</v>
      </c>
      <c r="I43" s="177">
        <f t="shared" si="1"/>
        <v>6.4847882839410547</v>
      </c>
      <c r="J43" s="178">
        <f t="shared" si="2"/>
        <v>16341.666475531458</v>
      </c>
      <c r="K43" s="179">
        <f t="shared" si="13"/>
        <v>20930.82207025354</v>
      </c>
      <c r="L43" s="180">
        <f t="shared" si="14"/>
        <v>-4589.1555947220822</v>
      </c>
      <c r="M43" s="172">
        <f t="shared" si="7"/>
        <v>-368.65341161744942</v>
      </c>
      <c r="N43" s="173">
        <f t="shared" si="8"/>
        <v>-4957.8090063395321</v>
      </c>
      <c r="O43" s="172">
        <f t="shared" si="9"/>
        <v>0</v>
      </c>
      <c r="P43" s="172">
        <f t="shared" si="10"/>
        <v>0</v>
      </c>
      <c r="Q43" s="172">
        <v>0</v>
      </c>
      <c r="R43" s="173">
        <f t="shared" si="11"/>
        <v>-4957.8090063395321</v>
      </c>
    </row>
    <row r="44" spans="1:18" x14ac:dyDescent="0.25">
      <c r="A44" s="94">
        <v>1</v>
      </c>
      <c r="B44" s="181">
        <f t="shared" ref="B44:B55" si="15">DATE($R$1,A44,1)</f>
        <v>45292</v>
      </c>
      <c r="C44" s="182">
        <f t="shared" ref="C44:D55" si="16">+C32</f>
        <v>45327</v>
      </c>
      <c r="D44" s="182">
        <f t="shared" si="16"/>
        <v>45348</v>
      </c>
      <c r="E44" s="183" t="s">
        <v>82</v>
      </c>
      <c r="F44" s="184">
        <v>9</v>
      </c>
      <c r="G44" s="167">
        <v>216</v>
      </c>
      <c r="H44" s="168">
        <f t="shared" si="5"/>
        <v>8.3058817739101354</v>
      </c>
      <c r="I44" s="168">
        <f t="shared" si="1"/>
        <v>6.4847882839410547</v>
      </c>
      <c r="J44" s="172">
        <f t="shared" ref="J44:J55" si="17">+$G44*I44</f>
        <v>1400.7142693312678</v>
      </c>
      <c r="K44" s="176">
        <f t="shared" ref="K44:K55" si="18">+$G44*H44</f>
        <v>1794.0704631645892</v>
      </c>
      <c r="L44" s="175">
        <f t="shared" ref="L44:L55" si="19">+J44-K44</f>
        <v>-393.35619383332141</v>
      </c>
      <c r="M44" s="172">
        <f t="shared" si="7"/>
        <v>-31.598863852924239</v>
      </c>
      <c r="N44" s="173">
        <f t="shared" si="8"/>
        <v>-424.95505768624565</v>
      </c>
      <c r="O44" s="172">
        <f t="shared" si="9"/>
        <v>0</v>
      </c>
      <c r="P44" s="172">
        <f t="shared" si="10"/>
        <v>0</v>
      </c>
      <c r="Q44" s="172">
        <v>0</v>
      </c>
      <c r="R44" s="173">
        <f t="shared" si="11"/>
        <v>-424.95505768624565</v>
      </c>
    </row>
    <row r="45" spans="1:18" x14ac:dyDescent="0.25">
      <c r="A45" s="130">
        <v>2</v>
      </c>
      <c r="B45" s="165">
        <f t="shared" si="15"/>
        <v>45323</v>
      </c>
      <c r="C45" s="185">
        <f t="shared" si="16"/>
        <v>45356</v>
      </c>
      <c r="D45" s="185">
        <f t="shared" si="16"/>
        <v>45376</v>
      </c>
      <c r="E45" s="174" t="s">
        <v>82</v>
      </c>
      <c r="F45" s="130">
        <v>9</v>
      </c>
      <c r="G45" s="167">
        <v>146</v>
      </c>
      <c r="H45" s="168">
        <f t="shared" si="5"/>
        <v>8.3058817739101354</v>
      </c>
      <c r="I45" s="168">
        <f t="shared" si="1"/>
        <v>6.4847882839410547</v>
      </c>
      <c r="J45" s="172">
        <f t="shared" si="17"/>
        <v>946.779089455394</v>
      </c>
      <c r="K45" s="176">
        <f t="shared" si="18"/>
        <v>1212.6587389908798</v>
      </c>
      <c r="L45" s="175">
        <f t="shared" si="19"/>
        <v>-265.87964953548578</v>
      </c>
      <c r="M45" s="172">
        <f t="shared" si="7"/>
        <v>-21.358491307995084</v>
      </c>
      <c r="N45" s="173">
        <f t="shared" si="8"/>
        <v>-287.23814084348089</v>
      </c>
      <c r="O45" s="172">
        <f t="shared" si="9"/>
        <v>0</v>
      </c>
      <c r="P45" s="172">
        <f t="shared" si="10"/>
        <v>0</v>
      </c>
      <c r="Q45" s="172">
        <v>0</v>
      </c>
      <c r="R45" s="173">
        <f t="shared" si="11"/>
        <v>-287.23814084348089</v>
      </c>
    </row>
    <row r="46" spans="1:18" x14ac:dyDescent="0.25">
      <c r="A46" s="130">
        <v>3</v>
      </c>
      <c r="B46" s="165">
        <f t="shared" si="15"/>
        <v>45352</v>
      </c>
      <c r="C46" s="185">
        <f t="shared" si="16"/>
        <v>45385</v>
      </c>
      <c r="D46" s="185">
        <f t="shared" si="16"/>
        <v>45406</v>
      </c>
      <c r="E46" s="174" t="s">
        <v>82</v>
      </c>
      <c r="F46" s="130">
        <v>9</v>
      </c>
      <c r="G46" s="167">
        <v>113</v>
      </c>
      <c r="H46" s="168">
        <f t="shared" si="5"/>
        <v>8.3058817739101354</v>
      </c>
      <c r="I46" s="168">
        <f t="shared" si="1"/>
        <v>6.4847882839410547</v>
      </c>
      <c r="J46" s="172">
        <f t="shared" si="17"/>
        <v>732.78107608533912</v>
      </c>
      <c r="K46" s="176">
        <f t="shared" si="18"/>
        <v>938.56464045184532</v>
      </c>
      <c r="L46" s="175">
        <f t="shared" si="19"/>
        <v>-205.7835643665062</v>
      </c>
      <c r="M46" s="172">
        <f t="shared" si="7"/>
        <v>-16.530887108242773</v>
      </c>
      <c r="N46" s="173">
        <f t="shared" si="8"/>
        <v>-222.31445147474898</v>
      </c>
      <c r="O46" s="172">
        <f t="shared" si="9"/>
        <v>0</v>
      </c>
      <c r="P46" s="172">
        <f t="shared" si="10"/>
        <v>0</v>
      </c>
      <c r="Q46" s="172">
        <v>0</v>
      </c>
      <c r="R46" s="173">
        <f t="shared" si="11"/>
        <v>-222.31445147474898</v>
      </c>
    </row>
    <row r="47" spans="1:18" x14ac:dyDescent="0.25">
      <c r="A47" s="94">
        <v>4</v>
      </c>
      <c r="B47" s="165">
        <f t="shared" si="15"/>
        <v>45383</v>
      </c>
      <c r="C47" s="185">
        <f t="shared" si="16"/>
        <v>45415</v>
      </c>
      <c r="D47" s="185">
        <f t="shared" si="16"/>
        <v>45436</v>
      </c>
      <c r="E47" s="174" t="s">
        <v>82</v>
      </c>
      <c r="F47" s="130">
        <v>9</v>
      </c>
      <c r="G47" s="167">
        <v>76</v>
      </c>
      <c r="H47" s="168">
        <f t="shared" si="5"/>
        <v>8.3058817739101354</v>
      </c>
      <c r="I47" s="168">
        <f t="shared" si="1"/>
        <v>6.4847882839410547</v>
      </c>
      <c r="J47" s="172">
        <f t="shared" si="17"/>
        <v>492.84390957952013</v>
      </c>
      <c r="K47" s="176">
        <f t="shared" si="18"/>
        <v>631.24701481717034</v>
      </c>
      <c r="L47" s="175">
        <f t="shared" si="19"/>
        <v>-138.40310523765021</v>
      </c>
      <c r="M47" s="172">
        <f t="shared" si="7"/>
        <v>-11.118118763065937</v>
      </c>
      <c r="N47" s="173">
        <f t="shared" si="8"/>
        <v>-149.52122400071613</v>
      </c>
      <c r="O47" s="172">
        <f t="shared" si="9"/>
        <v>0</v>
      </c>
      <c r="P47" s="172">
        <f t="shared" si="10"/>
        <v>0</v>
      </c>
      <c r="Q47" s="172">
        <v>0</v>
      </c>
      <c r="R47" s="173">
        <f t="shared" si="11"/>
        <v>-149.52122400071613</v>
      </c>
    </row>
    <row r="48" spans="1:18" x14ac:dyDescent="0.25">
      <c r="A48" s="130">
        <v>5</v>
      </c>
      <c r="B48" s="165">
        <f t="shared" si="15"/>
        <v>45413</v>
      </c>
      <c r="C48" s="185">
        <f t="shared" si="16"/>
        <v>45448</v>
      </c>
      <c r="D48" s="185">
        <f t="shared" si="16"/>
        <v>45467</v>
      </c>
      <c r="E48" s="174" t="s">
        <v>82</v>
      </c>
      <c r="F48" s="130">
        <v>9</v>
      </c>
      <c r="G48" s="167">
        <v>120</v>
      </c>
      <c r="H48" s="168">
        <f t="shared" si="5"/>
        <v>8.3058817739101354</v>
      </c>
      <c r="I48" s="168">
        <f t="shared" si="1"/>
        <v>6.4847882839410547</v>
      </c>
      <c r="J48" s="172">
        <f t="shared" si="17"/>
        <v>778.17459407292654</v>
      </c>
      <c r="K48" s="176">
        <f t="shared" si="18"/>
        <v>996.70581286921629</v>
      </c>
      <c r="L48" s="175">
        <f t="shared" si="19"/>
        <v>-218.53121879628975</v>
      </c>
      <c r="M48" s="172">
        <f t="shared" si="7"/>
        <v>-17.554924362735687</v>
      </c>
      <c r="N48" s="173">
        <f t="shared" si="8"/>
        <v>-236.08614315902543</v>
      </c>
      <c r="O48" s="172">
        <f t="shared" si="9"/>
        <v>0</v>
      </c>
      <c r="P48" s="172">
        <f t="shared" si="10"/>
        <v>0</v>
      </c>
      <c r="Q48" s="172">
        <v>0</v>
      </c>
      <c r="R48" s="173">
        <f t="shared" si="11"/>
        <v>-236.08614315902543</v>
      </c>
    </row>
    <row r="49" spans="1:18" x14ac:dyDescent="0.25">
      <c r="A49" s="130">
        <v>6</v>
      </c>
      <c r="B49" s="165">
        <f t="shared" si="15"/>
        <v>45444</v>
      </c>
      <c r="C49" s="185">
        <f t="shared" si="16"/>
        <v>45476</v>
      </c>
      <c r="D49" s="185">
        <f t="shared" si="16"/>
        <v>45497</v>
      </c>
      <c r="E49" s="174" t="s">
        <v>82</v>
      </c>
      <c r="F49" s="130">
        <v>9</v>
      </c>
      <c r="G49" s="167">
        <v>147</v>
      </c>
      <c r="H49" s="168">
        <f t="shared" si="5"/>
        <v>8.3058817739101354</v>
      </c>
      <c r="I49" s="168">
        <f t="shared" si="1"/>
        <v>6.4847882839410547</v>
      </c>
      <c r="J49" s="172">
        <f t="shared" si="17"/>
        <v>953.26387773933504</v>
      </c>
      <c r="K49" s="176">
        <f t="shared" si="18"/>
        <v>1220.96462076479</v>
      </c>
      <c r="L49" s="175">
        <f t="shared" si="19"/>
        <v>-267.70074302545493</v>
      </c>
      <c r="M49" s="172">
        <f t="shared" si="7"/>
        <v>-21.504782344351216</v>
      </c>
      <c r="N49" s="173">
        <f t="shared" si="8"/>
        <v>-289.20552536980614</v>
      </c>
      <c r="O49" s="172">
        <f t="shared" si="9"/>
        <v>0</v>
      </c>
      <c r="P49" s="172">
        <f t="shared" si="10"/>
        <v>0</v>
      </c>
      <c r="Q49" s="172">
        <v>0</v>
      </c>
      <c r="R49" s="173">
        <f t="shared" si="11"/>
        <v>-289.20552536980614</v>
      </c>
    </row>
    <row r="50" spans="1:18" x14ac:dyDescent="0.25">
      <c r="A50" s="94">
        <v>7</v>
      </c>
      <c r="B50" s="165">
        <f t="shared" si="15"/>
        <v>45474</v>
      </c>
      <c r="C50" s="185">
        <f t="shared" si="16"/>
        <v>45509</v>
      </c>
      <c r="D50" s="185">
        <f t="shared" si="16"/>
        <v>45530</v>
      </c>
      <c r="E50" s="174" t="s">
        <v>82</v>
      </c>
      <c r="F50" s="130">
        <v>9</v>
      </c>
      <c r="G50" s="167">
        <v>155</v>
      </c>
      <c r="H50" s="168">
        <f t="shared" si="5"/>
        <v>8.3058817739101354</v>
      </c>
      <c r="I50" s="168">
        <f t="shared" si="1"/>
        <v>6.4847882839410547</v>
      </c>
      <c r="J50" s="172">
        <f t="shared" si="17"/>
        <v>1005.1421840108635</v>
      </c>
      <c r="K50" s="176">
        <f t="shared" si="18"/>
        <v>1287.411674956071</v>
      </c>
      <c r="L50" s="175">
        <f t="shared" si="19"/>
        <v>-282.26949094520751</v>
      </c>
      <c r="M50" s="172">
        <f t="shared" si="7"/>
        <v>-22.675110635200266</v>
      </c>
      <c r="N50" s="173">
        <f t="shared" si="8"/>
        <v>-304.94460158040778</v>
      </c>
      <c r="O50" s="172">
        <f t="shared" si="9"/>
        <v>0</v>
      </c>
      <c r="P50" s="172">
        <f t="shared" si="10"/>
        <v>0</v>
      </c>
      <c r="Q50" s="172">
        <v>0</v>
      </c>
      <c r="R50" s="173">
        <f t="shared" si="11"/>
        <v>-304.94460158040778</v>
      </c>
    </row>
    <row r="51" spans="1:18" x14ac:dyDescent="0.25">
      <c r="A51" s="130">
        <v>8</v>
      </c>
      <c r="B51" s="165">
        <f t="shared" si="15"/>
        <v>45505</v>
      </c>
      <c r="C51" s="185">
        <f t="shared" si="16"/>
        <v>45539</v>
      </c>
      <c r="D51" s="185">
        <f t="shared" si="16"/>
        <v>45559</v>
      </c>
      <c r="E51" s="174" t="s">
        <v>82</v>
      </c>
      <c r="F51" s="130">
        <v>9</v>
      </c>
      <c r="G51" s="167">
        <v>157</v>
      </c>
      <c r="H51" s="168">
        <f t="shared" si="5"/>
        <v>8.3058817739101354</v>
      </c>
      <c r="I51" s="168">
        <f t="shared" si="1"/>
        <v>6.4847882839410547</v>
      </c>
      <c r="J51" s="172">
        <f t="shared" si="17"/>
        <v>1018.1117605787456</v>
      </c>
      <c r="K51" s="176">
        <f t="shared" si="18"/>
        <v>1304.0234385038912</v>
      </c>
      <c r="L51" s="175">
        <f t="shared" si="19"/>
        <v>-285.91167792514557</v>
      </c>
      <c r="M51" s="172">
        <f t="shared" si="7"/>
        <v>-22.967692707912523</v>
      </c>
      <c r="N51" s="173">
        <f t="shared" si="8"/>
        <v>-308.8793706330581</v>
      </c>
      <c r="O51" s="172">
        <f t="shared" si="9"/>
        <v>0</v>
      </c>
      <c r="P51" s="172">
        <f t="shared" si="10"/>
        <v>0</v>
      </c>
      <c r="Q51" s="172">
        <v>0</v>
      </c>
      <c r="R51" s="173">
        <f t="shared" si="11"/>
        <v>-308.8793706330581</v>
      </c>
    </row>
    <row r="52" spans="1:18" x14ac:dyDescent="0.25">
      <c r="A52" s="130">
        <v>9</v>
      </c>
      <c r="B52" s="165">
        <f t="shared" si="15"/>
        <v>45536</v>
      </c>
      <c r="C52" s="185">
        <f t="shared" si="16"/>
        <v>45568</v>
      </c>
      <c r="D52" s="185">
        <f t="shared" si="16"/>
        <v>45589</v>
      </c>
      <c r="E52" s="174" t="s">
        <v>82</v>
      </c>
      <c r="F52" s="130">
        <v>9</v>
      </c>
      <c r="G52" s="167">
        <v>126</v>
      </c>
      <c r="H52" s="168">
        <f t="shared" si="5"/>
        <v>8.3058817739101354</v>
      </c>
      <c r="I52" s="168">
        <f t="shared" si="1"/>
        <v>6.4847882839410547</v>
      </c>
      <c r="J52" s="172">
        <f t="shared" si="17"/>
        <v>817.08332377657291</v>
      </c>
      <c r="K52" s="176">
        <f t="shared" si="18"/>
        <v>1046.541103512677</v>
      </c>
      <c r="L52" s="175">
        <f t="shared" si="19"/>
        <v>-229.45777973610404</v>
      </c>
      <c r="M52" s="172">
        <f t="shared" si="7"/>
        <v>-18.432670580872472</v>
      </c>
      <c r="N52" s="173">
        <f t="shared" si="8"/>
        <v>-247.89045031697651</v>
      </c>
      <c r="O52" s="172">
        <f t="shared" si="9"/>
        <v>0</v>
      </c>
      <c r="P52" s="172">
        <f t="shared" si="10"/>
        <v>0</v>
      </c>
      <c r="Q52" s="172">
        <v>0</v>
      </c>
      <c r="R52" s="173">
        <f t="shared" si="11"/>
        <v>-247.89045031697651</v>
      </c>
    </row>
    <row r="53" spans="1:18" x14ac:dyDescent="0.25">
      <c r="A53" s="94">
        <v>10</v>
      </c>
      <c r="B53" s="165">
        <f t="shared" si="15"/>
        <v>45566</v>
      </c>
      <c r="C53" s="185">
        <f t="shared" si="16"/>
        <v>45601</v>
      </c>
      <c r="D53" s="185">
        <f t="shared" si="16"/>
        <v>45621</v>
      </c>
      <c r="E53" s="174" t="s">
        <v>82</v>
      </c>
      <c r="F53" s="130">
        <v>9</v>
      </c>
      <c r="G53" s="167">
        <v>112</v>
      </c>
      <c r="H53" s="168">
        <f t="shared" si="5"/>
        <v>8.3058817739101354</v>
      </c>
      <c r="I53" s="168">
        <f t="shared" si="1"/>
        <v>6.4847882839410547</v>
      </c>
      <c r="J53" s="172">
        <f t="shared" si="17"/>
        <v>726.29628780139808</v>
      </c>
      <c r="K53" s="176">
        <f t="shared" si="18"/>
        <v>930.25875867793513</v>
      </c>
      <c r="L53" s="175">
        <f t="shared" si="19"/>
        <v>-203.96247087653705</v>
      </c>
      <c r="M53" s="172">
        <f t="shared" si="7"/>
        <v>-16.384596071886641</v>
      </c>
      <c r="N53" s="173">
        <f t="shared" si="8"/>
        <v>-220.3470669484237</v>
      </c>
      <c r="O53" s="172">
        <f t="shared" si="9"/>
        <v>0</v>
      </c>
      <c r="P53" s="172">
        <f t="shared" si="10"/>
        <v>0</v>
      </c>
      <c r="Q53" s="172">
        <v>0</v>
      </c>
      <c r="R53" s="173">
        <f t="shared" si="11"/>
        <v>-220.3470669484237</v>
      </c>
    </row>
    <row r="54" spans="1:18" x14ac:dyDescent="0.25">
      <c r="A54" s="130">
        <v>11</v>
      </c>
      <c r="B54" s="165">
        <f t="shared" si="15"/>
        <v>45597</v>
      </c>
      <c r="C54" s="185">
        <f t="shared" si="16"/>
        <v>45630</v>
      </c>
      <c r="D54" s="185">
        <f t="shared" si="16"/>
        <v>45650</v>
      </c>
      <c r="E54" s="174" t="s">
        <v>82</v>
      </c>
      <c r="F54" s="130">
        <v>9</v>
      </c>
      <c r="G54" s="167">
        <v>93</v>
      </c>
      <c r="H54" s="168">
        <f t="shared" si="5"/>
        <v>8.3058817739101354</v>
      </c>
      <c r="I54" s="168">
        <f t="shared" si="1"/>
        <v>6.4847882839410547</v>
      </c>
      <c r="J54" s="172">
        <f t="shared" si="17"/>
        <v>603.08531040651803</v>
      </c>
      <c r="K54" s="176">
        <f t="shared" si="18"/>
        <v>772.44700497364261</v>
      </c>
      <c r="L54" s="175">
        <f t="shared" si="19"/>
        <v>-169.36169456712457</v>
      </c>
      <c r="M54" s="172">
        <f t="shared" si="7"/>
        <v>-13.605066381120158</v>
      </c>
      <c r="N54" s="173">
        <f t="shared" si="8"/>
        <v>-182.96676094824474</v>
      </c>
      <c r="O54" s="172">
        <f t="shared" si="9"/>
        <v>0</v>
      </c>
      <c r="P54" s="172">
        <f t="shared" si="10"/>
        <v>0</v>
      </c>
      <c r="Q54" s="172">
        <v>0</v>
      </c>
      <c r="R54" s="173">
        <f t="shared" si="11"/>
        <v>-182.96676094824474</v>
      </c>
    </row>
    <row r="55" spans="1:18" x14ac:dyDescent="0.25">
      <c r="A55" s="130">
        <v>12</v>
      </c>
      <c r="B55" s="165">
        <f t="shared" si="15"/>
        <v>45627</v>
      </c>
      <c r="C55" s="185">
        <f t="shared" si="16"/>
        <v>45660</v>
      </c>
      <c r="D55" s="185">
        <f t="shared" si="16"/>
        <v>45681</v>
      </c>
      <c r="E55" s="174" t="s">
        <v>82</v>
      </c>
      <c r="F55" s="130">
        <v>9</v>
      </c>
      <c r="G55" s="167">
        <v>128</v>
      </c>
      <c r="H55" s="177">
        <f t="shared" si="5"/>
        <v>8.3058817739101354</v>
      </c>
      <c r="I55" s="177">
        <f t="shared" si="1"/>
        <v>6.4847882839410547</v>
      </c>
      <c r="J55" s="178">
        <f t="shared" si="17"/>
        <v>830.052900344455</v>
      </c>
      <c r="K55" s="179">
        <f t="shared" si="18"/>
        <v>1063.1528670604973</v>
      </c>
      <c r="L55" s="180">
        <f t="shared" si="19"/>
        <v>-233.09996671604233</v>
      </c>
      <c r="M55" s="172">
        <f t="shared" si="7"/>
        <v>-18.725252653584732</v>
      </c>
      <c r="N55" s="173">
        <f t="shared" si="8"/>
        <v>-251.82521936962706</v>
      </c>
      <c r="O55" s="172">
        <f t="shared" si="9"/>
        <v>0</v>
      </c>
      <c r="P55" s="172">
        <f t="shared" si="10"/>
        <v>0</v>
      </c>
      <c r="Q55" s="172">
        <v>0</v>
      </c>
      <c r="R55" s="173">
        <f t="shared" si="11"/>
        <v>-251.82521936962706</v>
      </c>
    </row>
    <row r="56" spans="1:18" s="186" customFormat="1" x14ac:dyDescent="0.25">
      <c r="A56" s="94">
        <v>1</v>
      </c>
      <c r="B56" s="181">
        <f t="shared" si="4"/>
        <v>45292</v>
      </c>
      <c r="C56" s="182">
        <f t="shared" ref="C56:D67" si="20">+C32</f>
        <v>45327</v>
      </c>
      <c r="D56" s="182">
        <f t="shared" si="20"/>
        <v>45348</v>
      </c>
      <c r="E56" s="183" t="s">
        <v>14</v>
      </c>
      <c r="F56" s="184">
        <v>9</v>
      </c>
      <c r="G56" s="167">
        <v>1129</v>
      </c>
      <c r="H56" s="168">
        <f t="shared" si="5"/>
        <v>8.3058817739101354</v>
      </c>
      <c r="I56" s="168">
        <f t="shared" si="1"/>
        <v>6.4847882839410547</v>
      </c>
      <c r="J56" s="169">
        <f t="shared" si="2"/>
        <v>7321.3259725694506</v>
      </c>
      <c r="K56" s="170">
        <f t="shared" si="13"/>
        <v>9377.3405227445437</v>
      </c>
      <c r="L56" s="171">
        <f t="shared" si="14"/>
        <v>-2056.0145501750931</v>
      </c>
      <c r="M56" s="172">
        <f t="shared" si="7"/>
        <v>-165.16258004607158</v>
      </c>
      <c r="N56" s="173">
        <f t="shared" si="8"/>
        <v>-2221.1771302211646</v>
      </c>
      <c r="O56" s="172">
        <f t="shared" si="9"/>
        <v>0</v>
      </c>
      <c r="P56" s="172">
        <f t="shared" si="10"/>
        <v>0</v>
      </c>
      <c r="Q56" s="172">
        <v>0</v>
      </c>
      <c r="R56" s="173">
        <f t="shared" si="11"/>
        <v>-2221.1771302211646</v>
      </c>
    </row>
    <row r="57" spans="1:18" x14ac:dyDescent="0.25">
      <c r="A57" s="130">
        <v>2</v>
      </c>
      <c r="B57" s="165">
        <f t="shared" si="4"/>
        <v>45323</v>
      </c>
      <c r="C57" s="185">
        <f t="shared" si="20"/>
        <v>45356</v>
      </c>
      <c r="D57" s="185">
        <f t="shared" si="20"/>
        <v>45376</v>
      </c>
      <c r="E57" s="174" t="s">
        <v>14</v>
      </c>
      <c r="F57" s="130">
        <v>9</v>
      </c>
      <c r="G57" s="167">
        <v>739</v>
      </c>
      <c r="H57" s="168">
        <f t="shared" si="5"/>
        <v>8.3058817739101354</v>
      </c>
      <c r="I57" s="168">
        <f t="shared" si="1"/>
        <v>6.4847882839410547</v>
      </c>
      <c r="J57" s="169">
        <f t="shared" si="2"/>
        <v>4792.2585418324397</v>
      </c>
      <c r="K57" s="170">
        <f t="shared" si="13"/>
        <v>6138.0466309195899</v>
      </c>
      <c r="L57" s="171">
        <f t="shared" si="14"/>
        <v>-1345.7880890871502</v>
      </c>
      <c r="M57" s="172">
        <f t="shared" si="7"/>
        <v>-108.10907586718061</v>
      </c>
      <c r="N57" s="173">
        <f t="shared" si="8"/>
        <v>-1453.8971649543307</v>
      </c>
      <c r="O57" s="172">
        <f t="shared" si="9"/>
        <v>0</v>
      </c>
      <c r="P57" s="172">
        <f t="shared" si="10"/>
        <v>0</v>
      </c>
      <c r="Q57" s="172">
        <v>0</v>
      </c>
      <c r="R57" s="173">
        <f t="shared" si="11"/>
        <v>-1453.8971649543307</v>
      </c>
    </row>
    <row r="58" spans="1:18" x14ac:dyDescent="0.25">
      <c r="A58" s="130">
        <v>3</v>
      </c>
      <c r="B58" s="165">
        <f t="shared" si="4"/>
        <v>45352</v>
      </c>
      <c r="C58" s="185">
        <f t="shared" si="20"/>
        <v>45385</v>
      </c>
      <c r="D58" s="185">
        <f t="shared" si="20"/>
        <v>45406</v>
      </c>
      <c r="E58" s="174" t="s">
        <v>14</v>
      </c>
      <c r="F58" s="130">
        <v>9</v>
      </c>
      <c r="G58" s="167">
        <v>642</v>
      </c>
      <c r="H58" s="168">
        <f t="shared" si="5"/>
        <v>8.3058817739101354</v>
      </c>
      <c r="I58" s="168">
        <f t="shared" si="1"/>
        <v>6.4847882839410547</v>
      </c>
      <c r="J58" s="169">
        <f t="shared" si="2"/>
        <v>4163.2340782901574</v>
      </c>
      <c r="K58" s="170">
        <f t="shared" si="13"/>
        <v>5332.3760988503072</v>
      </c>
      <c r="L58" s="171">
        <f>+J58-K58</f>
        <v>-1169.1420205601498</v>
      </c>
      <c r="M58" s="172">
        <f t="shared" si="7"/>
        <v>-93.918845340635926</v>
      </c>
      <c r="N58" s="173">
        <f t="shared" si="8"/>
        <v>-1263.0608659007858</v>
      </c>
      <c r="O58" s="172">
        <f t="shared" si="9"/>
        <v>0</v>
      </c>
      <c r="P58" s="172">
        <f t="shared" si="10"/>
        <v>0</v>
      </c>
      <c r="Q58" s="172">
        <v>0</v>
      </c>
      <c r="R58" s="173">
        <f t="shared" si="11"/>
        <v>-1263.0608659007858</v>
      </c>
    </row>
    <row r="59" spans="1:18" x14ac:dyDescent="0.25">
      <c r="A59" s="94">
        <v>4</v>
      </c>
      <c r="B59" s="165">
        <f t="shared" si="4"/>
        <v>45383</v>
      </c>
      <c r="C59" s="185">
        <f t="shared" si="20"/>
        <v>45415</v>
      </c>
      <c r="D59" s="185">
        <f t="shared" si="20"/>
        <v>45436</v>
      </c>
      <c r="E59" s="174" t="s">
        <v>14</v>
      </c>
      <c r="F59" s="130">
        <v>9</v>
      </c>
      <c r="G59" s="167">
        <v>581</v>
      </c>
      <c r="H59" s="168">
        <f t="shared" si="5"/>
        <v>8.3058817739101354</v>
      </c>
      <c r="I59" s="168">
        <f t="shared" si="1"/>
        <v>6.4847882839410547</v>
      </c>
      <c r="J59" s="169">
        <f t="shared" si="2"/>
        <v>3767.6619929697526</v>
      </c>
      <c r="K59" s="170">
        <f t="shared" si="13"/>
        <v>4825.7173106417886</v>
      </c>
      <c r="L59" s="171">
        <f t="shared" ref="L59:L81" si="21">+J59-K59</f>
        <v>-1058.0553176720359</v>
      </c>
      <c r="M59" s="172">
        <f t="shared" si="7"/>
        <v>-84.995092122911956</v>
      </c>
      <c r="N59" s="173">
        <f t="shared" si="8"/>
        <v>-1143.0504097949479</v>
      </c>
      <c r="O59" s="172">
        <f t="shared" si="9"/>
        <v>0</v>
      </c>
      <c r="P59" s="172">
        <f t="shared" si="10"/>
        <v>0</v>
      </c>
      <c r="Q59" s="172">
        <v>0</v>
      </c>
      <c r="R59" s="173">
        <f t="shared" si="11"/>
        <v>-1143.0504097949479</v>
      </c>
    </row>
    <row r="60" spans="1:18" x14ac:dyDescent="0.25">
      <c r="A60" s="130">
        <v>5</v>
      </c>
      <c r="B60" s="165">
        <f t="shared" si="4"/>
        <v>45413</v>
      </c>
      <c r="C60" s="185">
        <f t="shared" si="20"/>
        <v>45448</v>
      </c>
      <c r="D60" s="185">
        <f t="shared" si="20"/>
        <v>45467</v>
      </c>
      <c r="E60" s="52" t="s">
        <v>14</v>
      </c>
      <c r="F60" s="130">
        <v>9</v>
      </c>
      <c r="G60" s="167">
        <v>753</v>
      </c>
      <c r="H60" s="168">
        <f t="shared" si="5"/>
        <v>8.3058817739101354</v>
      </c>
      <c r="I60" s="168">
        <f t="shared" si="1"/>
        <v>6.4847882839410547</v>
      </c>
      <c r="J60" s="169">
        <f t="shared" si="2"/>
        <v>4883.0455778076139</v>
      </c>
      <c r="K60" s="170">
        <f t="shared" si="13"/>
        <v>6254.3289757543316</v>
      </c>
      <c r="L60" s="171">
        <f t="shared" si="21"/>
        <v>-1371.2833979467177</v>
      </c>
      <c r="M60" s="172">
        <f t="shared" si="7"/>
        <v>-110.15715037616644</v>
      </c>
      <c r="N60" s="173">
        <f t="shared" si="8"/>
        <v>-1481.4405483228843</v>
      </c>
      <c r="O60" s="172">
        <f t="shared" si="9"/>
        <v>0</v>
      </c>
      <c r="P60" s="172">
        <f t="shared" si="10"/>
        <v>0</v>
      </c>
      <c r="Q60" s="172">
        <v>0</v>
      </c>
      <c r="R60" s="173">
        <f t="shared" si="11"/>
        <v>-1481.4405483228843</v>
      </c>
    </row>
    <row r="61" spans="1:18" x14ac:dyDescent="0.25">
      <c r="A61" s="130">
        <v>6</v>
      </c>
      <c r="B61" s="165">
        <f t="shared" si="4"/>
        <v>45444</v>
      </c>
      <c r="C61" s="185">
        <f t="shared" si="20"/>
        <v>45476</v>
      </c>
      <c r="D61" s="185">
        <f t="shared" si="20"/>
        <v>45497</v>
      </c>
      <c r="E61" s="52" t="s">
        <v>14</v>
      </c>
      <c r="F61" s="130">
        <v>9</v>
      </c>
      <c r="G61" s="167">
        <v>1001</v>
      </c>
      <c r="H61" s="168">
        <f t="shared" si="5"/>
        <v>8.3058817739101354</v>
      </c>
      <c r="I61" s="168">
        <f t="shared" si="1"/>
        <v>6.4847882839410547</v>
      </c>
      <c r="J61" s="169">
        <f t="shared" si="2"/>
        <v>6491.2730722249953</v>
      </c>
      <c r="K61" s="170">
        <f t="shared" si="13"/>
        <v>8314.1876556840452</v>
      </c>
      <c r="L61" s="175">
        <f t="shared" si="21"/>
        <v>-1822.9145834590499</v>
      </c>
      <c r="M61" s="172">
        <f t="shared" si="7"/>
        <v>-146.43732739248685</v>
      </c>
      <c r="N61" s="173">
        <f t="shared" si="8"/>
        <v>-1969.3519108515368</v>
      </c>
      <c r="O61" s="172">
        <f t="shared" si="9"/>
        <v>0</v>
      </c>
      <c r="P61" s="172">
        <f t="shared" si="10"/>
        <v>0</v>
      </c>
      <c r="Q61" s="172">
        <v>0</v>
      </c>
      <c r="R61" s="173">
        <f t="shared" si="11"/>
        <v>-1969.3519108515368</v>
      </c>
    </row>
    <row r="62" spans="1:18" x14ac:dyDescent="0.25">
      <c r="A62" s="94">
        <v>7</v>
      </c>
      <c r="B62" s="165">
        <f t="shared" si="4"/>
        <v>45474</v>
      </c>
      <c r="C62" s="185">
        <f t="shared" si="20"/>
        <v>45509</v>
      </c>
      <c r="D62" s="185">
        <f t="shared" si="20"/>
        <v>45530</v>
      </c>
      <c r="E62" s="52" t="s">
        <v>14</v>
      </c>
      <c r="F62" s="130">
        <v>9</v>
      </c>
      <c r="G62" s="167">
        <v>961</v>
      </c>
      <c r="H62" s="168">
        <f t="shared" si="5"/>
        <v>8.3058817739101354</v>
      </c>
      <c r="I62" s="168">
        <f t="shared" si="1"/>
        <v>6.4847882839410547</v>
      </c>
      <c r="J62" s="169">
        <f t="shared" si="2"/>
        <v>6231.8815408673536</v>
      </c>
      <c r="K62" s="176">
        <f t="shared" si="13"/>
        <v>7981.9523847276405</v>
      </c>
      <c r="L62" s="175">
        <f t="shared" si="21"/>
        <v>-1750.0708438602869</v>
      </c>
      <c r="M62" s="172">
        <f t="shared" si="7"/>
        <v>-140.58568593824162</v>
      </c>
      <c r="N62" s="173">
        <f t="shared" si="8"/>
        <v>-1890.6565297985285</v>
      </c>
      <c r="O62" s="172">
        <f t="shared" si="9"/>
        <v>0</v>
      </c>
      <c r="P62" s="172">
        <f t="shared" si="10"/>
        <v>0</v>
      </c>
      <c r="Q62" s="172">
        <v>0</v>
      </c>
      <c r="R62" s="173">
        <f t="shared" si="11"/>
        <v>-1890.6565297985285</v>
      </c>
    </row>
    <row r="63" spans="1:18" x14ac:dyDescent="0.25">
      <c r="A63" s="130">
        <v>8</v>
      </c>
      <c r="B63" s="165">
        <f t="shared" si="4"/>
        <v>45505</v>
      </c>
      <c r="C63" s="185">
        <f t="shared" si="20"/>
        <v>45539</v>
      </c>
      <c r="D63" s="185">
        <f t="shared" si="20"/>
        <v>45559</v>
      </c>
      <c r="E63" s="52" t="s">
        <v>14</v>
      </c>
      <c r="F63" s="130">
        <v>9</v>
      </c>
      <c r="G63" s="167">
        <v>1017</v>
      </c>
      <c r="H63" s="168">
        <f t="shared" si="5"/>
        <v>8.3058817739101354</v>
      </c>
      <c r="I63" s="168">
        <f t="shared" si="1"/>
        <v>6.4847882839410547</v>
      </c>
      <c r="J63" s="169">
        <f t="shared" si="2"/>
        <v>6595.0296847680529</v>
      </c>
      <c r="K63" s="176">
        <f t="shared" si="13"/>
        <v>8447.0817640666082</v>
      </c>
      <c r="L63" s="175">
        <f t="shared" si="21"/>
        <v>-1852.0520792985553</v>
      </c>
      <c r="M63" s="172">
        <f t="shared" si="7"/>
        <v>-148.77798397418496</v>
      </c>
      <c r="N63" s="173">
        <f t="shared" si="8"/>
        <v>-2000.8300632727403</v>
      </c>
      <c r="O63" s="172">
        <f t="shared" si="9"/>
        <v>0</v>
      </c>
      <c r="P63" s="172">
        <f t="shared" si="10"/>
        <v>0</v>
      </c>
      <c r="Q63" s="172">
        <v>0</v>
      </c>
      <c r="R63" s="173">
        <f t="shared" si="11"/>
        <v>-2000.8300632727403</v>
      </c>
    </row>
    <row r="64" spans="1:18" x14ac:dyDescent="0.25">
      <c r="A64" s="130">
        <v>9</v>
      </c>
      <c r="B64" s="165">
        <f t="shared" si="4"/>
        <v>45536</v>
      </c>
      <c r="C64" s="185">
        <f t="shared" si="20"/>
        <v>45568</v>
      </c>
      <c r="D64" s="185">
        <f t="shared" si="20"/>
        <v>45589</v>
      </c>
      <c r="E64" s="52" t="s">
        <v>14</v>
      </c>
      <c r="F64" s="130">
        <v>9</v>
      </c>
      <c r="G64" s="167">
        <v>856</v>
      </c>
      <c r="H64" s="168">
        <f t="shared" si="5"/>
        <v>8.3058817739101354</v>
      </c>
      <c r="I64" s="168">
        <f t="shared" ref="I64:I107" si="22">$J$3</f>
        <v>6.4847882839410547</v>
      </c>
      <c r="J64" s="169">
        <f t="shared" si="2"/>
        <v>5550.9787710535429</v>
      </c>
      <c r="K64" s="176">
        <f t="shared" si="13"/>
        <v>7109.8347984670763</v>
      </c>
      <c r="L64" s="175">
        <f t="shared" si="21"/>
        <v>-1558.8560274135334</v>
      </c>
      <c r="M64" s="172">
        <f t="shared" si="7"/>
        <v>-125.2251271208479</v>
      </c>
      <c r="N64" s="173">
        <f t="shared" si="8"/>
        <v>-1684.0811545343813</v>
      </c>
      <c r="O64" s="172">
        <f t="shared" si="9"/>
        <v>0</v>
      </c>
      <c r="P64" s="172">
        <f t="shared" si="10"/>
        <v>0</v>
      </c>
      <c r="Q64" s="172">
        <v>0</v>
      </c>
      <c r="R64" s="173">
        <f t="shared" si="11"/>
        <v>-1684.0811545343813</v>
      </c>
    </row>
    <row r="65" spans="1:18" x14ac:dyDescent="0.25">
      <c r="A65" s="94">
        <v>10</v>
      </c>
      <c r="B65" s="165">
        <f t="shared" si="4"/>
        <v>45566</v>
      </c>
      <c r="C65" s="185">
        <f t="shared" si="20"/>
        <v>45601</v>
      </c>
      <c r="D65" s="185">
        <f t="shared" si="20"/>
        <v>45621</v>
      </c>
      <c r="E65" s="52" t="s">
        <v>14</v>
      </c>
      <c r="F65" s="130">
        <v>9</v>
      </c>
      <c r="G65" s="167">
        <v>786</v>
      </c>
      <c r="H65" s="168">
        <f t="shared" si="5"/>
        <v>8.3058817739101354</v>
      </c>
      <c r="I65" s="168">
        <f t="shared" si="22"/>
        <v>6.4847882839410547</v>
      </c>
      <c r="J65" s="169">
        <f t="shared" si="2"/>
        <v>5097.0435911776685</v>
      </c>
      <c r="K65" s="176">
        <f t="shared" si="13"/>
        <v>6528.423074293366</v>
      </c>
      <c r="L65" s="175">
        <f t="shared" si="21"/>
        <v>-1431.3794831156974</v>
      </c>
      <c r="M65" s="172">
        <f t="shared" si="7"/>
        <v>-114.98475457591874</v>
      </c>
      <c r="N65" s="173">
        <f t="shared" si="8"/>
        <v>-1546.3642376916162</v>
      </c>
      <c r="O65" s="172">
        <f t="shared" si="9"/>
        <v>0</v>
      </c>
      <c r="P65" s="172">
        <f t="shared" si="10"/>
        <v>0</v>
      </c>
      <c r="Q65" s="172">
        <v>0</v>
      </c>
      <c r="R65" s="173">
        <f t="shared" si="11"/>
        <v>-1546.3642376916162</v>
      </c>
    </row>
    <row r="66" spans="1:18" x14ac:dyDescent="0.25">
      <c r="A66" s="130">
        <v>11</v>
      </c>
      <c r="B66" s="165">
        <f t="shared" si="4"/>
        <v>45597</v>
      </c>
      <c r="C66" s="185">
        <f t="shared" si="20"/>
        <v>45630</v>
      </c>
      <c r="D66" s="185">
        <f t="shared" si="20"/>
        <v>45650</v>
      </c>
      <c r="E66" s="52" t="s">
        <v>14</v>
      </c>
      <c r="F66" s="130">
        <v>9</v>
      </c>
      <c r="G66" s="167">
        <v>463</v>
      </c>
      <c r="H66" s="168">
        <f t="shared" si="5"/>
        <v>8.3058817739101354</v>
      </c>
      <c r="I66" s="168">
        <f t="shared" si="22"/>
        <v>6.4847882839410547</v>
      </c>
      <c r="J66" s="169">
        <f t="shared" si="2"/>
        <v>3002.4569754647082</v>
      </c>
      <c r="K66" s="176">
        <f t="shared" si="13"/>
        <v>3845.6232613203929</v>
      </c>
      <c r="L66" s="175">
        <f t="shared" si="21"/>
        <v>-843.16628585568469</v>
      </c>
      <c r="M66" s="172">
        <f t="shared" si="7"/>
        <v>-67.73274983288853</v>
      </c>
      <c r="N66" s="173">
        <f t="shared" si="8"/>
        <v>-910.89903568857324</v>
      </c>
      <c r="O66" s="172">
        <f t="shared" si="9"/>
        <v>0</v>
      </c>
      <c r="P66" s="172">
        <f t="shared" si="10"/>
        <v>0</v>
      </c>
      <c r="Q66" s="172">
        <v>0</v>
      </c>
      <c r="R66" s="173">
        <f t="shared" si="11"/>
        <v>-910.89903568857324</v>
      </c>
    </row>
    <row r="67" spans="1:18" s="189" customFormat="1" x14ac:dyDescent="0.25">
      <c r="A67" s="130">
        <v>12</v>
      </c>
      <c r="B67" s="187">
        <f t="shared" si="4"/>
        <v>45627</v>
      </c>
      <c r="C67" s="185">
        <f t="shared" si="20"/>
        <v>45660</v>
      </c>
      <c r="D67" s="185">
        <f t="shared" si="20"/>
        <v>45681</v>
      </c>
      <c r="E67" s="188" t="s">
        <v>14</v>
      </c>
      <c r="F67" s="141">
        <v>9</v>
      </c>
      <c r="G67" s="167">
        <v>725</v>
      </c>
      <c r="H67" s="177">
        <f t="shared" si="5"/>
        <v>8.3058817739101354</v>
      </c>
      <c r="I67" s="177">
        <f t="shared" si="22"/>
        <v>6.4847882839410547</v>
      </c>
      <c r="J67" s="178">
        <f t="shared" si="2"/>
        <v>4701.4715058572647</v>
      </c>
      <c r="K67" s="179">
        <f t="shared" si="13"/>
        <v>6021.7642860848482</v>
      </c>
      <c r="L67" s="180">
        <f t="shared" si="21"/>
        <v>-1320.2927802275835</v>
      </c>
      <c r="M67" s="172">
        <f t="shared" si="7"/>
        <v>-106.06100135819477</v>
      </c>
      <c r="N67" s="173">
        <f t="shared" si="8"/>
        <v>-1426.3537815857783</v>
      </c>
      <c r="O67" s="172">
        <f t="shared" si="9"/>
        <v>0</v>
      </c>
      <c r="P67" s="172">
        <f t="shared" si="10"/>
        <v>0</v>
      </c>
      <c r="Q67" s="172">
        <v>0</v>
      </c>
      <c r="R67" s="173">
        <f t="shared" si="11"/>
        <v>-1426.3537815857783</v>
      </c>
    </row>
    <row r="68" spans="1:18" x14ac:dyDescent="0.25">
      <c r="A68" s="94">
        <v>1</v>
      </c>
      <c r="B68" s="165">
        <f t="shared" si="4"/>
        <v>45292</v>
      </c>
      <c r="C68" s="182">
        <f t="shared" ref="C68:D79" si="23">+C56</f>
        <v>45327</v>
      </c>
      <c r="D68" s="182">
        <f t="shared" si="23"/>
        <v>45348</v>
      </c>
      <c r="E68" s="166" t="s">
        <v>86</v>
      </c>
      <c r="F68" s="94">
        <v>9</v>
      </c>
      <c r="G68" s="167">
        <v>58</v>
      </c>
      <c r="H68" s="168">
        <f t="shared" si="5"/>
        <v>8.3058817739101354</v>
      </c>
      <c r="I68" s="168">
        <f t="shared" si="22"/>
        <v>6.4847882839410547</v>
      </c>
      <c r="J68" s="169">
        <f t="shared" si="2"/>
        <v>376.11772046858118</v>
      </c>
      <c r="K68" s="170">
        <f t="shared" si="13"/>
        <v>481.74114288678783</v>
      </c>
      <c r="L68" s="171">
        <f t="shared" si="21"/>
        <v>-105.62342241820664</v>
      </c>
      <c r="M68" s="172">
        <f t="shared" si="7"/>
        <v>-8.484880108655581</v>
      </c>
      <c r="N68" s="173">
        <f t="shared" si="8"/>
        <v>-114.10830252686222</v>
      </c>
      <c r="O68" s="172">
        <f t="shared" si="9"/>
        <v>0</v>
      </c>
      <c r="P68" s="172">
        <f t="shared" si="10"/>
        <v>0</v>
      </c>
      <c r="Q68" s="172">
        <v>0</v>
      </c>
      <c r="R68" s="173">
        <f t="shared" si="11"/>
        <v>-114.10830252686222</v>
      </c>
    </row>
    <row r="69" spans="1:18" x14ac:dyDescent="0.25">
      <c r="A69" s="130">
        <v>2</v>
      </c>
      <c r="B69" s="165">
        <f t="shared" si="4"/>
        <v>45323</v>
      </c>
      <c r="C69" s="185">
        <f t="shared" si="23"/>
        <v>45356</v>
      </c>
      <c r="D69" s="185">
        <f t="shared" si="23"/>
        <v>45376</v>
      </c>
      <c r="E69" s="174" t="s">
        <v>86</v>
      </c>
      <c r="F69" s="130">
        <v>9</v>
      </c>
      <c r="G69" s="167">
        <v>36</v>
      </c>
      <c r="H69" s="168">
        <f t="shared" si="5"/>
        <v>8.3058817739101354</v>
      </c>
      <c r="I69" s="168">
        <f t="shared" si="22"/>
        <v>6.4847882839410547</v>
      </c>
      <c r="J69" s="169">
        <f t="shared" si="2"/>
        <v>233.45237822187798</v>
      </c>
      <c r="K69" s="170">
        <f t="shared" si="13"/>
        <v>299.01174386076485</v>
      </c>
      <c r="L69" s="171">
        <f t="shared" si="21"/>
        <v>-65.559365638886874</v>
      </c>
      <c r="M69" s="172">
        <f t="shared" si="7"/>
        <v>-5.2664773088207069</v>
      </c>
      <c r="N69" s="173">
        <f t="shared" si="8"/>
        <v>-70.825842947707585</v>
      </c>
      <c r="O69" s="172">
        <f t="shared" si="9"/>
        <v>0</v>
      </c>
      <c r="P69" s="172">
        <f t="shared" si="10"/>
        <v>0</v>
      </c>
      <c r="Q69" s="172">
        <v>0</v>
      </c>
      <c r="R69" s="173">
        <f t="shared" si="11"/>
        <v>-70.825842947707585</v>
      </c>
    </row>
    <row r="70" spans="1:18" x14ac:dyDescent="0.25">
      <c r="A70" s="130">
        <v>3</v>
      </c>
      <c r="B70" s="165">
        <f t="shared" si="4"/>
        <v>45352</v>
      </c>
      <c r="C70" s="185">
        <f t="shared" si="23"/>
        <v>45385</v>
      </c>
      <c r="D70" s="185">
        <f t="shared" si="23"/>
        <v>45406</v>
      </c>
      <c r="E70" s="174" t="s">
        <v>86</v>
      </c>
      <c r="F70" s="130">
        <v>9</v>
      </c>
      <c r="G70" s="167">
        <v>29</v>
      </c>
      <c r="H70" s="168">
        <f t="shared" si="5"/>
        <v>8.3058817739101354</v>
      </c>
      <c r="I70" s="168">
        <f t="shared" si="22"/>
        <v>6.4847882839410547</v>
      </c>
      <c r="J70" s="169">
        <f t="shared" si="2"/>
        <v>188.05886023429059</v>
      </c>
      <c r="K70" s="170">
        <f t="shared" si="13"/>
        <v>240.87057144339391</v>
      </c>
      <c r="L70" s="171">
        <f>+J70-K70</f>
        <v>-52.811711209103322</v>
      </c>
      <c r="M70" s="172">
        <f t="shared" si="7"/>
        <v>-4.2424400543277905</v>
      </c>
      <c r="N70" s="173">
        <f t="shared" si="8"/>
        <v>-57.054151263431109</v>
      </c>
      <c r="O70" s="172">
        <f t="shared" si="9"/>
        <v>0</v>
      </c>
      <c r="P70" s="172">
        <f t="shared" si="10"/>
        <v>0</v>
      </c>
      <c r="Q70" s="172">
        <v>0</v>
      </c>
      <c r="R70" s="173">
        <f t="shared" si="11"/>
        <v>-57.054151263431109</v>
      </c>
    </row>
    <row r="71" spans="1:18" x14ac:dyDescent="0.25">
      <c r="A71" s="94">
        <v>4</v>
      </c>
      <c r="B71" s="165">
        <f t="shared" si="4"/>
        <v>45383</v>
      </c>
      <c r="C71" s="185">
        <f t="shared" si="23"/>
        <v>45415</v>
      </c>
      <c r="D71" s="185">
        <f t="shared" si="23"/>
        <v>45436</v>
      </c>
      <c r="E71" s="174" t="s">
        <v>86</v>
      </c>
      <c r="F71" s="130">
        <v>9</v>
      </c>
      <c r="G71" s="167">
        <v>27</v>
      </c>
      <c r="H71" s="168">
        <f t="shared" si="5"/>
        <v>8.3058817739101354</v>
      </c>
      <c r="I71" s="168">
        <f t="shared" si="22"/>
        <v>6.4847882839410547</v>
      </c>
      <c r="J71" s="169">
        <f t="shared" si="2"/>
        <v>175.08928366640848</v>
      </c>
      <c r="K71" s="170">
        <f t="shared" si="13"/>
        <v>224.25880789557365</v>
      </c>
      <c r="L71" s="171">
        <f t="shared" ref="L71:L79" si="24">+J71-K71</f>
        <v>-49.169524229165177</v>
      </c>
      <c r="M71" s="172">
        <f t="shared" si="7"/>
        <v>-3.9498579816155299</v>
      </c>
      <c r="N71" s="173">
        <f t="shared" si="8"/>
        <v>-53.119382210780707</v>
      </c>
      <c r="O71" s="172">
        <f t="shared" si="9"/>
        <v>0</v>
      </c>
      <c r="P71" s="172">
        <f t="shared" si="10"/>
        <v>0</v>
      </c>
      <c r="Q71" s="172">
        <v>0</v>
      </c>
      <c r="R71" s="173">
        <f t="shared" si="11"/>
        <v>-53.119382210780707</v>
      </c>
    </row>
    <row r="72" spans="1:18" x14ac:dyDescent="0.25">
      <c r="A72" s="130">
        <v>5</v>
      </c>
      <c r="B72" s="165">
        <f t="shared" si="4"/>
        <v>45413</v>
      </c>
      <c r="C72" s="185">
        <f t="shared" si="23"/>
        <v>45448</v>
      </c>
      <c r="D72" s="185">
        <f t="shared" si="23"/>
        <v>45467</v>
      </c>
      <c r="E72" s="174" t="s">
        <v>86</v>
      </c>
      <c r="F72" s="130">
        <v>9</v>
      </c>
      <c r="G72" s="167">
        <v>36</v>
      </c>
      <c r="H72" s="168">
        <f t="shared" si="5"/>
        <v>8.3058817739101354</v>
      </c>
      <c r="I72" s="168">
        <f t="shared" si="22"/>
        <v>6.4847882839410547</v>
      </c>
      <c r="J72" s="169">
        <f t="shared" si="2"/>
        <v>233.45237822187798</v>
      </c>
      <c r="K72" s="170">
        <f t="shared" si="13"/>
        <v>299.01174386076485</v>
      </c>
      <c r="L72" s="171">
        <f t="shared" si="24"/>
        <v>-65.559365638886874</v>
      </c>
      <c r="M72" s="172">
        <f t="shared" si="7"/>
        <v>-5.2664773088207069</v>
      </c>
      <c r="N72" s="173">
        <f t="shared" si="8"/>
        <v>-70.825842947707585</v>
      </c>
      <c r="O72" s="172">
        <f t="shared" si="9"/>
        <v>0</v>
      </c>
      <c r="P72" s="172">
        <f t="shared" si="10"/>
        <v>0</v>
      </c>
      <c r="Q72" s="172">
        <v>0</v>
      </c>
      <c r="R72" s="173">
        <f t="shared" si="11"/>
        <v>-70.825842947707585</v>
      </c>
    </row>
    <row r="73" spans="1:18" x14ac:dyDescent="0.25">
      <c r="A73" s="130">
        <v>6</v>
      </c>
      <c r="B73" s="165">
        <f t="shared" si="4"/>
        <v>45444</v>
      </c>
      <c r="C73" s="185">
        <f t="shared" si="23"/>
        <v>45476</v>
      </c>
      <c r="D73" s="185">
        <f t="shared" si="23"/>
        <v>45497</v>
      </c>
      <c r="E73" s="174" t="s">
        <v>86</v>
      </c>
      <c r="F73" s="130">
        <v>9</v>
      </c>
      <c r="G73" s="167">
        <v>53</v>
      </c>
      <c r="H73" s="168">
        <f t="shared" si="5"/>
        <v>8.3058817739101354</v>
      </c>
      <c r="I73" s="168">
        <f t="shared" si="22"/>
        <v>6.4847882839410547</v>
      </c>
      <c r="J73" s="169">
        <f t="shared" si="2"/>
        <v>343.69377904887591</v>
      </c>
      <c r="K73" s="170">
        <f t="shared" si="13"/>
        <v>440.21173401723718</v>
      </c>
      <c r="L73" s="175">
        <f t="shared" si="24"/>
        <v>-96.517954968361266</v>
      </c>
      <c r="M73" s="172">
        <f t="shared" si="7"/>
        <v>-7.7534249268749287</v>
      </c>
      <c r="N73" s="173">
        <f t="shared" si="8"/>
        <v>-104.27137989523619</v>
      </c>
      <c r="O73" s="172">
        <f t="shared" si="9"/>
        <v>0</v>
      </c>
      <c r="P73" s="172">
        <f t="shared" si="10"/>
        <v>0</v>
      </c>
      <c r="Q73" s="172">
        <v>0</v>
      </c>
      <c r="R73" s="173">
        <f t="shared" si="11"/>
        <v>-104.27137989523619</v>
      </c>
    </row>
    <row r="74" spans="1:18" x14ac:dyDescent="0.25">
      <c r="A74" s="94">
        <v>7</v>
      </c>
      <c r="B74" s="165">
        <f t="shared" si="4"/>
        <v>45474</v>
      </c>
      <c r="C74" s="185">
        <f t="shared" si="23"/>
        <v>45509</v>
      </c>
      <c r="D74" s="185">
        <f t="shared" si="23"/>
        <v>45530</v>
      </c>
      <c r="E74" s="174" t="s">
        <v>86</v>
      </c>
      <c r="F74" s="130">
        <v>9</v>
      </c>
      <c r="G74" s="167">
        <v>53</v>
      </c>
      <c r="H74" s="168">
        <f t="shared" si="5"/>
        <v>8.3058817739101354</v>
      </c>
      <c r="I74" s="168">
        <f t="shared" si="22"/>
        <v>6.4847882839410547</v>
      </c>
      <c r="J74" s="169">
        <f t="shared" si="2"/>
        <v>343.69377904887591</v>
      </c>
      <c r="K74" s="176">
        <f t="shared" si="13"/>
        <v>440.21173401723718</v>
      </c>
      <c r="L74" s="175">
        <f t="shared" si="24"/>
        <v>-96.517954968361266</v>
      </c>
      <c r="M74" s="172">
        <f t="shared" si="7"/>
        <v>-7.7534249268749287</v>
      </c>
      <c r="N74" s="173">
        <f t="shared" si="8"/>
        <v>-104.27137989523619</v>
      </c>
      <c r="O74" s="172">
        <f t="shared" si="9"/>
        <v>0</v>
      </c>
      <c r="P74" s="172">
        <f t="shared" si="10"/>
        <v>0</v>
      </c>
      <c r="Q74" s="172">
        <v>0</v>
      </c>
      <c r="R74" s="173">
        <f t="shared" si="11"/>
        <v>-104.27137989523619</v>
      </c>
    </row>
    <row r="75" spans="1:18" x14ac:dyDescent="0.25">
      <c r="A75" s="130">
        <v>8</v>
      </c>
      <c r="B75" s="165">
        <f t="shared" si="4"/>
        <v>45505</v>
      </c>
      <c r="C75" s="185">
        <f t="shared" si="23"/>
        <v>45539</v>
      </c>
      <c r="D75" s="185">
        <f t="shared" si="23"/>
        <v>45559</v>
      </c>
      <c r="E75" s="174" t="s">
        <v>86</v>
      </c>
      <c r="F75" s="130">
        <v>9</v>
      </c>
      <c r="G75" s="167">
        <v>54</v>
      </c>
      <c r="H75" s="168">
        <f t="shared" si="5"/>
        <v>8.3058817739101354</v>
      </c>
      <c r="I75" s="168">
        <f t="shared" si="22"/>
        <v>6.4847882839410547</v>
      </c>
      <c r="J75" s="169">
        <f t="shared" si="2"/>
        <v>350.17856733281695</v>
      </c>
      <c r="K75" s="176">
        <f t="shared" si="13"/>
        <v>448.51761579114731</v>
      </c>
      <c r="L75" s="175">
        <f t="shared" si="24"/>
        <v>-98.339048458330353</v>
      </c>
      <c r="M75" s="172">
        <f t="shared" si="7"/>
        <v>-7.8997159632310598</v>
      </c>
      <c r="N75" s="173">
        <f t="shared" si="8"/>
        <v>-106.23876442156141</v>
      </c>
      <c r="O75" s="172">
        <f t="shared" si="9"/>
        <v>0</v>
      </c>
      <c r="P75" s="172">
        <f t="shared" si="10"/>
        <v>0</v>
      </c>
      <c r="Q75" s="172">
        <v>0</v>
      </c>
      <c r="R75" s="173">
        <f t="shared" si="11"/>
        <v>-106.23876442156141</v>
      </c>
    </row>
    <row r="76" spans="1:18" x14ac:dyDescent="0.25">
      <c r="A76" s="130">
        <v>9</v>
      </c>
      <c r="B76" s="165">
        <f t="shared" si="4"/>
        <v>45536</v>
      </c>
      <c r="C76" s="185">
        <f t="shared" si="23"/>
        <v>45568</v>
      </c>
      <c r="D76" s="185">
        <f t="shared" si="23"/>
        <v>45589</v>
      </c>
      <c r="E76" s="174" t="s">
        <v>86</v>
      </c>
      <c r="F76" s="130">
        <v>9</v>
      </c>
      <c r="G76" s="167">
        <v>48</v>
      </c>
      <c r="H76" s="168">
        <f t="shared" si="5"/>
        <v>8.3058817739101354</v>
      </c>
      <c r="I76" s="168">
        <f t="shared" si="22"/>
        <v>6.4847882839410547</v>
      </c>
      <c r="J76" s="169">
        <f t="shared" si="2"/>
        <v>311.26983762917064</v>
      </c>
      <c r="K76" s="176">
        <f t="shared" si="13"/>
        <v>398.68232514768647</v>
      </c>
      <c r="L76" s="175">
        <f t="shared" si="24"/>
        <v>-87.412487518515832</v>
      </c>
      <c r="M76" s="172">
        <f t="shared" si="7"/>
        <v>-7.0219697450942746</v>
      </c>
      <c r="N76" s="173">
        <f t="shared" si="8"/>
        <v>-94.434457263610113</v>
      </c>
      <c r="O76" s="172">
        <f t="shared" si="9"/>
        <v>0</v>
      </c>
      <c r="P76" s="172">
        <f t="shared" si="10"/>
        <v>0</v>
      </c>
      <c r="Q76" s="172">
        <v>0</v>
      </c>
      <c r="R76" s="173">
        <f t="shared" si="11"/>
        <v>-94.434457263610113</v>
      </c>
    </row>
    <row r="77" spans="1:18" x14ac:dyDescent="0.25">
      <c r="A77" s="94">
        <v>10</v>
      </c>
      <c r="B77" s="165">
        <f t="shared" si="4"/>
        <v>45566</v>
      </c>
      <c r="C77" s="185">
        <f t="shared" si="23"/>
        <v>45601</v>
      </c>
      <c r="D77" s="185">
        <f t="shared" si="23"/>
        <v>45621</v>
      </c>
      <c r="E77" s="174" t="s">
        <v>86</v>
      </c>
      <c r="F77" s="130">
        <v>9</v>
      </c>
      <c r="G77" s="167">
        <v>41</v>
      </c>
      <c r="H77" s="168">
        <f t="shared" si="5"/>
        <v>8.3058817739101354</v>
      </c>
      <c r="I77" s="168">
        <f t="shared" si="22"/>
        <v>6.4847882839410547</v>
      </c>
      <c r="J77" s="169">
        <f t="shared" si="2"/>
        <v>265.87631964158322</v>
      </c>
      <c r="K77" s="176">
        <f t="shared" si="13"/>
        <v>340.54115273031556</v>
      </c>
      <c r="L77" s="175">
        <f t="shared" si="24"/>
        <v>-74.664833088732337</v>
      </c>
      <c r="M77" s="172">
        <f t="shared" si="7"/>
        <v>-5.99793249060136</v>
      </c>
      <c r="N77" s="173">
        <f t="shared" si="8"/>
        <v>-80.662765579333694</v>
      </c>
      <c r="O77" s="172">
        <f t="shared" si="9"/>
        <v>0</v>
      </c>
      <c r="P77" s="172">
        <f t="shared" si="10"/>
        <v>0</v>
      </c>
      <c r="Q77" s="172">
        <v>0</v>
      </c>
      <c r="R77" s="173">
        <f t="shared" si="11"/>
        <v>-80.662765579333694</v>
      </c>
    </row>
    <row r="78" spans="1:18" x14ac:dyDescent="0.25">
      <c r="A78" s="130">
        <v>11</v>
      </c>
      <c r="B78" s="165">
        <f t="shared" si="4"/>
        <v>45597</v>
      </c>
      <c r="C78" s="185">
        <f t="shared" si="23"/>
        <v>45630</v>
      </c>
      <c r="D78" s="185">
        <f t="shared" si="23"/>
        <v>45650</v>
      </c>
      <c r="E78" s="174" t="s">
        <v>86</v>
      </c>
      <c r="F78" s="130">
        <v>9</v>
      </c>
      <c r="G78" s="167">
        <v>22</v>
      </c>
      <c r="H78" s="168">
        <f t="shared" si="5"/>
        <v>8.3058817739101354</v>
      </c>
      <c r="I78" s="168">
        <f t="shared" si="22"/>
        <v>6.4847882839410547</v>
      </c>
      <c r="J78" s="169">
        <f t="shared" si="2"/>
        <v>142.6653422467032</v>
      </c>
      <c r="K78" s="176">
        <f>+$G78*H78</f>
        <v>182.72939902602297</v>
      </c>
      <c r="L78" s="175">
        <f t="shared" si="24"/>
        <v>-40.06405677931977</v>
      </c>
      <c r="M78" s="172">
        <f t="shared" si="7"/>
        <v>-3.2184027998348759</v>
      </c>
      <c r="N78" s="173">
        <f t="shared" si="8"/>
        <v>-43.282459579154647</v>
      </c>
      <c r="O78" s="172">
        <f t="shared" si="9"/>
        <v>0</v>
      </c>
      <c r="P78" s="172">
        <f t="shared" si="10"/>
        <v>0</v>
      </c>
      <c r="Q78" s="172">
        <v>0</v>
      </c>
      <c r="R78" s="173">
        <f t="shared" si="11"/>
        <v>-43.282459579154647</v>
      </c>
    </row>
    <row r="79" spans="1:18" s="189" customFormat="1" x14ac:dyDescent="0.25">
      <c r="A79" s="130">
        <v>12</v>
      </c>
      <c r="B79" s="187">
        <f t="shared" si="4"/>
        <v>45627</v>
      </c>
      <c r="C79" s="190">
        <f t="shared" si="23"/>
        <v>45660</v>
      </c>
      <c r="D79" s="190">
        <f t="shared" si="23"/>
        <v>45681</v>
      </c>
      <c r="E79" s="191" t="s">
        <v>86</v>
      </c>
      <c r="F79" s="141">
        <v>9</v>
      </c>
      <c r="G79" s="167">
        <v>37</v>
      </c>
      <c r="H79" s="177">
        <f t="shared" si="5"/>
        <v>8.3058817739101354</v>
      </c>
      <c r="I79" s="177">
        <f t="shared" si="22"/>
        <v>6.4847882839410547</v>
      </c>
      <c r="J79" s="178">
        <f t="shared" si="2"/>
        <v>239.93716650581902</v>
      </c>
      <c r="K79" s="179">
        <f>+$G79*H79</f>
        <v>307.31762563467498</v>
      </c>
      <c r="L79" s="180">
        <f t="shared" si="24"/>
        <v>-67.380459128855961</v>
      </c>
      <c r="M79" s="172">
        <f t="shared" si="7"/>
        <v>-5.4127683451768371</v>
      </c>
      <c r="N79" s="173">
        <f t="shared" si="8"/>
        <v>-72.793227474032804</v>
      </c>
      <c r="O79" s="172">
        <f t="shared" si="9"/>
        <v>0</v>
      </c>
      <c r="P79" s="172">
        <f t="shared" si="10"/>
        <v>0</v>
      </c>
      <c r="Q79" s="172">
        <v>0</v>
      </c>
      <c r="R79" s="173">
        <f t="shared" si="11"/>
        <v>-72.793227474032804</v>
      </c>
    </row>
    <row r="80" spans="1:18" s="50" customFormat="1" ht="12.75" customHeight="1" x14ac:dyDescent="0.25">
      <c r="A80" s="94">
        <v>1</v>
      </c>
      <c r="B80" s="165">
        <f t="shared" si="4"/>
        <v>45292</v>
      </c>
      <c r="C80" s="182">
        <f t="shared" ref="C80:D91" si="25">+C56</f>
        <v>45327</v>
      </c>
      <c r="D80" s="182">
        <f t="shared" si="25"/>
        <v>45348</v>
      </c>
      <c r="E80" s="166" t="s">
        <v>9</v>
      </c>
      <c r="F80" s="94">
        <v>9</v>
      </c>
      <c r="G80" s="167">
        <v>75</v>
      </c>
      <c r="H80" s="168">
        <f t="shared" si="5"/>
        <v>8.3058817739101354</v>
      </c>
      <c r="I80" s="168">
        <f t="shared" si="22"/>
        <v>6.4847882839410547</v>
      </c>
      <c r="J80" s="169">
        <f t="shared" si="2"/>
        <v>486.35912129557909</v>
      </c>
      <c r="K80" s="170">
        <f t="shared" si="13"/>
        <v>622.94113304326015</v>
      </c>
      <c r="L80" s="171">
        <f t="shared" si="21"/>
        <v>-136.58201174768107</v>
      </c>
      <c r="M80" s="172">
        <f t="shared" si="7"/>
        <v>-10.971827726709805</v>
      </c>
      <c r="N80" s="173">
        <f t="shared" si="8"/>
        <v>-147.55383947439088</v>
      </c>
      <c r="O80" s="172">
        <f t="shared" si="9"/>
        <v>0</v>
      </c>
      <c r="P80" s="172">
        <f t="shared" si="10"/>
        <v>0</v>
      </c>
      <c r="Q80" s="172">
        <v>0</v>
      </c>
      <c r="R80" s="173">
        <f t="shared" si="11"/>
        <v>-147.55383947439088</v>
      </c>
    </row>
    <row r="81" spans="1:18" x14ac:dyDescent="0.25">
      <c r="A81" s="130">
        <v>2</v>
      </c>
      <c r="B81" s="165">
        <f t="shared" si="4"/>
        <v>45323</v>
      </c>
      <c r="C81" s="185">
        <f t="shared" si="25"/>
        <v>45356</v>
      </c>
      <c r="D81" s="185">
        <f t="shared" si="25"/>
        <v>45376</v>
      </c>
      <c r="E81" s="174" t="s">
        <v>9</v>
      </c>
      <c r="F81" s="130">
        <v>9</v>
      </c>
      <c r="G81" s="167">
        <v>54</v>
      </c>
      <c r="H81" s="168">
        <f t="shared" si="5"/>
        <v>8.3058817739101354</v>
      </c>
      <c r="I81" s="168">
        <f t="shared" si="22"/>
        <v>6.4847882839410547</v>
      </c>
      <c r="J81" s="169">
        <f t="shared" si="2"/>
        <v>350.17856733281695</v>
      </c>
      <c r="K81" s="170">
        <f t="shared" si="13"/>
        <v>448.51761579114731</v>
      </c>
      <c r="L81" s="171">
        <f t="shared" si="21"/>
        <v>-98.339048458330353</v>
      </c>
      <c r="M81" s="172">
        <f t="shared" si="7"/>
        <v>-7.8997159632310598</v>
      </c>
      <c r="N81" s="173">
        <f t="shared" si="8"/>
        <v>-106.23876442156141</v>
      </c>
      <c r="O81" s="172">
        <f t="shared" si="9"/>
        <v>0</v>
      </c>
      <c r="P81" s="172">
        <f t="shared" si="10"/>
        <v>0</v>
      </c>
      <c r="Q81" s="172">
        <v>0</v>
      </c>
      <c r="R81" s="173">
        <f t="shared" si="11"/>
        <v>-106.23876442156141</v>
      </c>
    </row>
    <row r="82" spans="1:18" x14ac:dyDescent="0.25">
      <c r="A82" s="130">
        <v>3</v>
      </c>
      <c r="B82" s="165">
        <f t="shared" si="4"/>
        <v>45352</v>
      </c>
      <c r="C82" s="185">
        <f t="shared" si="25"/>
        <v>45385</v>
      </c>
      <c r="D82" s="185">
        <f t="shared" si="25"/>
        <v>45406</v>
      </c>
      <c r="E82" s="174" t="s">
        <v>9</v>
      </c>
      <c r="F82" s="130">
        <v>9</v>
      </c>
      <c r="G82" s="167">
        <v>49</v>
      </c>
      <c r="H82" s="168">
        <f t="shared" si="5"/>
        <v>8.3058817739101354</v>
      </c>
      <c r="I82" s="168">
        <f t="shared" si="22"/>
        <v>6.4847882839410547</v>
      </c>
      <c r="J82" s="169">
        <f t="shared" si="2"/>
        <v>317.75462591311168</v>
      </c>
      <c r="K82" s="170">
        <f t="shared" si="13"/>
        <v>406.98820692159666</v>
      </c>
      <c r="L82" s="171">
        <f>+J82-K82</f>
        <v>-89.233581008484975</v>
      </c>
      <c r="M82" s="172">
        <f t="shared" si="7"/>
        <v>-7.1682607814504058</v>
      </c>
      <c r="N82" s="173">
        <f t="shared" si="8"/>
        <v>-96.401841789935375</v>
      </c>
      <c r="O82" s="172">
        <f t="shared" si="9"/>
        <v>0</v>
      </c>
      <c r="P82" s="172">
        <f t="shared" si="10"/>
        <v>0</v>
      </c>
      <c r="Q82" s="172">
        <v>0</v>
      </c>
      <c r="R82" s="173">
        <f t="shared" si="11"/>
        <v>-96.401841789935375</v>
      </c>
    </row>
    <row r="83" spans="1:18" ht="12" customHeight="1" x14ac:dyDescent="0.25">
      <c r="A83" s="94">
        <v>4</v>
      </c>
      <c r="B83" s="165">
        <f t="shared" si="4"/>
        <v>45383</v>
      </c>
      <c r="C83" s="185">
        <f t="shared" si="25"/>
        <v>45415</v>
      </c>
      <c r="D83" s="185">
        <f t="shared" si="25"/>
        <v>45436</v>
      </c>
      <c r="E83" s="52" t="s">
        <v>9</v>
      </c>
      <c r="F83" s="130">
        <v>9</v>
      </c>
      <c r="G83" s="167">
        <v>43</v>
      </c>
      <c r="H83" s="168">
        <f t="shared" si="5"/>
        <v>8.3058817739101354</v>
      </c>
      <c r="I83" s="168">
        <f t="shared" si="22"/>
        <v>6.4847882839410547</v>
      </c>
      <c r="J83" s="169">
        <f t="shared" si="2"/>
        <v>278.84589620946537</v>
      </c>
      <c r="K83" s="170">
        <f t="shared" si="13"/>
        <v>357.15291627813582</v>
      </c>
      <c r="L83" s="171">
        <f t="shared" ref="L83:L93" si="26">+J83-K83</f>
        <v>-78.307020068670454</v>
      </c>
      <c r="M83" s="172">
        <f t="shared" si="7"/>
        <v>-6.2905145633136215</v>
      </c>
      <c r="N83" s="173">
        <f t="shared" si="8"/>
        <v>-84.597534631984075</v>
      </c>
      <c r="O83" s="172">
        <f t="shared" si="9"/>
        <v>0</v>
      </c>
      <c r="P83" s="172">
        <f t="shared" si="10"/>
        <v>0</v>
      </c>
      <c r="Q83" s="172">
        <v>0</v>
      </c>
      <c r="R83" s="173">
        <f t="shared" si="11"/>
        <v>-84.597534631984075</v>
      </c>
    </row>
    <row r="84" spans="1:18" ht="12" customHeight="1" x14ac:dyDescent="0.25">
      <c r="A84" s="130">
        <v>5</v>
      </c>
      <c r="B84" s="165">
        <f t="shared" si="4"/>
        <v>45413</v>
      </c>
      <c r="C84" s="185">
        <f t="shared" si="25"/>
        <v>45448</v>
      </c>
      <c r="D84" s="185">
        <f t="shared" si="25"/>
        <v>45467</v>
      </c>
      <c r="E84" s="52" t="s">
        <v>9</v>
      </c>
      <c r="F84" s="130">
        <v>9</v>
      </c>
      <c r="G84" s="167">
        <v>50</v>
      </c>
      <c r="H84" s="168">
        <f t="shared" si="5"/>
        <v>8.3058817739101354</v>
      </c>
      <c r="I84" s="168">
        <f t="shared" si="22"/>
        <v>6.4847882839410547</v>
      </c>
      <c r="J84" s="169">
        <f t="shared" si="2"/>
        <v>324.23941419705272</v>
      </c>
      <c r="K84" s="170">
        <f t="shared" si="13"/>
        <v>415.29408869550679</v>
      </c>
      <c r="L84" s="171">
        <f t="shared" si="26"/>
        <v>-91.054674498454062</v>
      </c>
      <c r="M84" s="172">
        <f t="shared" si="7"/>
        <v>-7.314551817806537</v>
      </c>
      <c r="N84" s="173">
        <f t="shared" si="8"/>
        <v>-98.369226316260594</v>
      </c>
      <c r="O84" s="172">
        <f t="shared" si="9"/>
        <v>0</v>
      </c>
      <c r="P84" s="172">
        <f t="shared" si="10"/>
        <v>0</v>
      </c>
      <c r="Q84" s="172">
        <v>0</v>
      </c>
      <c r="R84" s="173">
        <f t="shared" si="11"/>
        <v>-98.369226316260594</v>
      </c>
    </row>
    <row r="85" spans="1:18" x14ac:dyDescent="0.25">
      <c r="A85" s="130">
        <v>6</v>
      </c>
      <c r="B85" s="165">
        <f t="shared" si="4"/>
        <v>45444</v>
      </c>
      <c r="C85" s="185">
        <f t="shared" si="25"/>
        <v>45476</v>
      </c>
      <c r="D85" s="185">
        <f t="shared" si="25"/>
        <v>45497</v>
      </c>
      <c r="E85" s="52" t="s">
        <v>9</v>
      </c>
      <c r="F85" s="130">
        <v>9</v>
      </c>
      <c r="G85" s="167">
        <v>59</v>
      </c>
      <c r="H85" s="168">
        <f t="shared" ref="H85:H148" si="27">+$K$3</f>
        <v>8.3058817739101354</v>
      </c>
      <c r="I85" s="168">
        <f t="shared" si="22"/>
        <v>6.4847882839410547</v>
      </c>
      <c r="J85" s="169">
        <f t="shared" si="2"/>
        <v>382.60250875252223</v>
      </c>
      <c r="K85" s="170">
        <f t="shared" si="13"/>
        <v>490.04702466069801</v>
      </c>
      <c r="L85" s="175">
        <f t="shared" si="26"/>
        <v>-107.44451590817579</v>
      </c>
      <c r="M85" s="172">
        <f t="shared" ref="M85:M148" si="28">G85/$G$212*$M$14</f>
        <v>-8.631171145011713</v>
      </c>
      <c r="N85" s="173">
        <f t="shared" ref="N85:N148" si="29">SUM(L85:M85)</f>
        <v>-116.07568705318749</v>
      </c>
      <c r="O85" s="172">
        <f t="shared" ref="O85:O148" si="30">+$P$3</f>
        <v>0</v>
      </c>
      <c r="P85" s="172">
        <f t="shared" ref="P85:P148" si="31">+G85*O85</f>
        <v>0</v>
      </c>
      <c r="Q85" s="172">
        <v>0</v>
      </c>
      <c r="R85" s="173">
        <f t="shared" ref="R85:R148" si="32">+N85-Q85</f>
        <v>-116.07568705318749</v>
      </c>
    </row>
    <row r="86" spans="1:18" x14ac:dyDescent="0.25">
      <c r="A86" s="94">
        <v>7</v>
      </c>
      <c r="B86" s="165">
        <f t="shared" si="4"/>
        <v>45474</v>
      </c>
      <c r="C86" s="185">
        <f t="shared" si="25"/>
        <v>45509</v>
      </c>
      <c r="D86" s="185">
        <f t="shared" si="25"/>
        <v>45530</v>
      </c>
      <c r="E86" s="52" t="s">
        <v>9</v>
      </c>
      <c r="F86" s="130">
        <v>9</v>
      </c>
      <c r="G86" s="167">
        <v>60</v>
      </c>
      <c r="H86" s="168">
        <f t="shared" si="27"/>
        <v>8.3058817739101354</v>
      </c>
      <c r="I86" s="168">
        <f t="shared" si="22"/>
        <v>6.4847882839410547</v>
      </c>
      <c r="J86" s="169">
        <f t="shared" si="2"/>
        <v>389.08729703646327</v>
      </c>
      <c r="K86" s="176">
        <f t="shared" si="13"/>
        <v>498.35290643460814</v>
      </c>
      <c r="L86" s="175">
        <f t="shared" si="26"/>
        <v>-109.26560939814487</v>
      </c>
      <c r="M86" s="172">
        <f t="shared" si="28"/>
        <v>-8.7774621813678433</v>
      </c>
      <c r="N86" s="173">
        <f t="shared" si="29"/>
        <v>-118.04307157951271</v>
      </c>
      <c r="O86" s="172">
        <f t="shared" si="30"/>
        <v>0</v>
      </c>
      <c r="P86" s="172">
        <f t="shared" si="31"/>
        <v>0</v>
      </c>
      <c r="Q86" s="172">
        <v>0</v>
      </c>
      <c r="R86" s="173">
        <f t="shared" si="32"/>
        <v>-118.04307157951271</v>
      </c>
    </row>
    <row r="87" spans="1:18" x14ac:dyDescent="0.25">
      <c r="A87" s="130">
        <v>8</v>
      </c>
      <c r="B87" s="165">
        <f t="shared" si="4"/>
        <v>45505</v>
      </c>
      <c r="C87" s="185">
        <f t="shared" si="25"/>
        <v>45539</v>
      </c>
      <c r="D87" s="185">
        <f t="shared" si="25"/>
        <v>45559</v>
      </c>
      <c r="E87" s="52" t="s">
        <v>9</v>
      </c>
      <c r="F87" s="130">
        <v>9</v>
      </c>
      <c r="G87" s="167">
        <v>56</v>
      </c>
      <c r="H87" s="168">
        <f t="shared" si="27"/>
        <v>8.3058817739101354</v>
      </c>
      <c r="I87" s="168">
        <f t="shared" si="22"/>
        <v>6.4847882839410547</v>
      </c>
      <c r="J87" s="169">
        <f t="shared" si="2"/>
        <v>363.14814390069904</v>
      </c>
      <c r="K87" s="176">
        <f t="shared" si="13"/>
        <v>465.12937933896757</v>
      </c>
      <c r="L87" s="175">
        <f t="shared" si="26"/>
        <v>-101.98123543826853</v>
      </c>
      <c r="M87" s="172">
        <f t="shared" si="28"/>
        <v>-8.1922980359433204</v>
      </c>
      <c r="N87" s="173">
        <f t="shared" si="29"/>
        <v>-110.17353347421185</v>
      </c>
      <c r="O87" s="172">
        <f t="shared" si="30"/>
        <v>0</v>
      </c>
      <c r="P87" s="172">
        <f t="shared" si="31"/>
        <v>0</v>
      </c>
      <c r="Q87" s="172">
        <v>0</v>
      </c>
      <c r="R87" s="173">
        <f t="shared" si="32"/>
        <v>-110.17353347421185</v>
      </c>
    </row>
    <row r="88" spans="1:18" x14ac:dyDescent="0.25">
      <c r="A88" s="130">
        <v>9</v>
      </c>
      <c r="B88" s="165">
        <f t="shared" si="4"/>
        <v>45536</v>
      </c>
      <c r="C88" s="185">
        <f t="shared" si="25"/>
        <v>45568</v>
      </c>
      <c r="D88" s="185">
        <f t="shared" si="25"/>
        <v>45589</v>
      </c>
      <c r="E88" s="52" t="s">
        <v>9</v>
      </c>
      <c r="F88" s="130">
        <v>9</v>
      </c>
      <c r="G88" s="167">
        <v>55</v>
      </c>
      <c r="H88" s="168">
        <f t="shared" si="27"/>
        <v>8.3058817739101354</v>
      </c>
      <c r="I88" s="168">
        <f t="shared" si="22"/>
        <v>6.4847882839410547</v>
      </c>
      <c r="J88" s="169">
        <f t="shared" si="2"/>
        <v>356.663355616758</v>
      </c>
      <c r="K88" s="176">
        <f t="shared" si="13"/>
        <v>456.82349756505744</v>
      </c>
      <c r="L88" s="175">
        <f t="shared" si="26"/>
        <v>-100.16014194829944</v>
      </c>
      <c r="M88" s="172">
        <f t="shared" si="28"/>
        <v>-8.0460069995871901</v>
      </c>
      <c r="N88" s="173">
        <f t="shared" si="29"/>
        <v>-108.20614894788663</v>
      </c>
      <c r="O88" s="172">
        <f t="shared" si="30"/>
        <v>0</v>
      </c>
      <c r="P88" s="172">
        <f t="shared" si="31"/>
        <v>0</v>
      </c>
      <c r="Q88" s="172">
        <v>0</v>
      </c>
      <c r="R88" s="173">
        <f t="shared" si="32"/>
        <v>-108.20614894788663</v>
      </c>
    </row>
    <row r="89" spans="1:18" x14ac:dyDescent="0.25">
      <c r="A89" s="94">
        <v>10</v>
      </c>
      <c r="B89" s="165">
        <f t="shared" si="4"/>
        <v>45566</v>
      </c>
      <c r="C89" s="185">
        <f t="shared" si="25"/>
        <v>45601</v>
      </c>
      <c r="D89" s="185">
        <f t="shared" si="25"/>
        <v>45621</v>
      </c>
      <c r="E89" s="52" t="s">
        <v>9</v>
      </c>
      <c r="F89" s="130">
        <v>9</v>
      </c>
      <c r="G89" s="167">
        <v>51</v>
      </c>
      <c r="H89" s="168">
        <f t="shared" si="27"/>
        <v>8.3058817739101354</v>
      </c>
      <c r="I89" s="168">
        <f t="shared" si="22"/>
        <v>6.4847882839410547</v>
      </c>
      <c r="J89" s="169">
        <f t="shared" si="2"/>
        <v>330.72420248099377</v>
      </c>
      <c r="K89" s="176">
        <f t="shared" si="13"/>
        <v>423.59997046941692</v>
      </c>
      <c r="L89" s="175">
        <f t="shared" si="26"/>
        <v>-92.875767988423149</v>
      </c>
      <c r="M89" s="172">
        <f t="shared" si="28"/>
        <v>-7.4608428541626663</v>
      </c>
      <c r="N89" s="173">
        <f t="shared" si="29"/>
        <v>-100.33661084258581</v>
      </c>
      <c r="O89" s="172">
        <f t="shared" si="30"/>
        <v>0</v>
      </c>
      <c r="P89" s="172">
        <f t="shared" si="31"/>
        <v>0</v>
      </c>
      <c r="Q89" s="172">
        <v>0</v>
      </c>
      <c r="R89" s="173">
        <f t="shared" si="32"/>
        <v>-100.33661084258581</v>
      </c>
    </row>
    <row r="90" spans="1:18" x14ac:dyDescent="0.25">
      <c r="A90" s="130">
        <v>11</v>
      </c>
      <c r="B90" s="165">
        <f t="shared" si="4"/>
        <v>45597</v>
      </c>
      <c r="C90" s="185">
        <f t="shared" si="25"/>
        <v>45630</v>
      </c>
      <c r="D90" s="185">
        <f t="shared" si="25"/>
        <v>45650</v>
      </c>
      <c r="E90" s="52" t="s">
        <v>9</v>
      </c>
      <c r="F90" s="130">
        <v>9</v>
      </c>
      <c r="G90" s="167">
        <v>40</v>
      </c>
      <c r="H90" s="168">
        <f t="shared" si="27"/>
        <v>8.3058817739101354</v>
      </c>
      <c r="I90" s="168">
        <f t="shared" si="22"/>
        <v>6.4847882839410547</v>
      </c>
      <c r="J90" s="169">
        <f t="shared" si="2"/>
        <v>259.39153135764218</v>
      </c>
      <c r="K90" s="176">
        <f t="shared" si="13"/>
        <v>332.23527095640543</v>
      </c>
      <c r="L90" s="175">
        <f t="shared" si="26"/>
        <v>-72.84373959876325</v>
      </c>
      <c r="M90" s="172">
        <f t="shared" si="28"/>
        <v>-5.8516414542452297</v>
      </c>
      <c r="N90" s="173">
        <f t="shared" si="29"/>
        <v>-78.695381053008475</v>
      </c>
      <c r="O90" s="172">
        <f t="shared" si="30"/>
        <v>0</v>
      </c>
      <c r="P90" s="172">
        <f t="shared" si="31"/>
        <v>0</v>
      </c>
      <c r="Q90" s="172">
        <v>0</v>
      </c>
      <c r="R90" s="173">
        <f t="shared" si="32"/>
        <v>-78.695381053008475</v>
      </c>
    </row>
    <row r="91" spans="1:18" s="189" customFormat="1" x14ac:dyDescent="0.25">
      <c r="A91" s="130">
        <v>12</v>
      </c>
      <c r="B91" s="187">
        <f t="shared" si="4"/>
        <v>45627</v>
      </c>
      <c r="C91" s="185">
        <f t="shared" si="25"/>
        <v>45660</v>
      </c>
      <c r="D91" s="185">
        <f t="shared" si="25"/>
        <v>45681</v>
      </c>
      <c r="E91" s="188" t="s">
        <v>9</v>
      </c>
      <c r="F91" s="141">
        <v>9</v>
      </c>
      <c r="G91" s="167">
        <v>51</v>
      </c>
      <c r="H91" s="177">
        <f t="shared" si="27"/>
        <v>8.3058817739101354</v>
      </c>
      <c r="I91" s="177">
        <f t="shared" si="22"/>
        <v>6.4847882839410547</v>
      </c>
      <c r="J91" s="178">
        <f t="shared" si="2"/>
        <v>330.72420248099377</v>
      </c>
      <c r="K91" s="179">
        <f t="shared" si="13"/>
        <v>423.59997046941692</v>
      </c>
      <c r="L91" s="180">
        <f t="shared" si="26"/>
        <v>-92.875767988423149</v>
      </c>
      <c r="M91" s="172">
        <f t="shared" si="28"/>
        <v>-7.4608428541626663</v>
      </c>
      <c r="N91" s="173">
        <f t="shared" si="29"/>
        <v>-100.33661084258581</v>
      </c>
      <c r="O91" s="172">
        <f t="shared" si="30"/>
        <v>0</v>
      </c>
      <c r="P91" s="172">
        <f t="shared" si="31"/>
        <v>0</v>
      </c>
      <c r="Q91" s="172">
        <v>0</v>
      </c>
      <c r="R91" s="173">
        <f t="shared" si="32"/>
        <v>-100.33661084258581</v>
      </c>
    </row>
    <row r="92" spans="1:18" x14ac:dyDescent="0.25">
      <c r="A92" s="94">
        <v>1</v>
      </c>
      <c r="B92" s="165">
        <f t="shared" si="4"/>
        <v>45292</v>
      </c>
      <c r="C92" s="182">
        <f t="shared" ref="C92:D95" si="33">+C80</f>
        <v>45327</v>
      </c>
      <c r="D92" s="182">
        <f t="shared" si="33"/>
        <v>45348</v>
      </c>
      <c r="E92" s="166" t="s">
        <v>8</v>
      </c>
      <c r="F92" s="94">
        <v>9</v>
      </c>
      <c r="G92" s="167">
        <v>94</v>
      </c>
      <c r="H92" s="168">
        <f t="shared" si="27"/>
        <v>8.3058817739101354</v>
      </c>
      <c r="I92" s="168">
        <f t="shared" si="22"/>
        <v>6.4847882839410547</v>
      </c>
      <c r="J92" s="169">
        <f t="shared" si="2"/>
        <v>609.57009869045919</v>
      </c>
      <c r="K92" s="170">
        <f t="shared" si="13"/>
        <v>780.75288674755268</v>
      </c>
      <c r="L92" s="171">
        <f t="shared" si="26"/>
        <v>-171.18278805709349</v>
      </c>
      <c r="M92" s="172">
        <f t="shared" si="28"/>
        <v>-13.751357417476289</v>
      </c>
      <c r="N92" s="173">
        <f t="shared" si="29"/>
        <v>-184.93414547456979</v>
      </c>
      <c r="O92" s="172">
        <f t="shared" si="30"/>
        <v>0</v>
      </c>
      <c r="P92" s="172">
        <f t="shared" si="31"/>
        <v>0</v>
      </c>
      <c r="Q92" s="172">
        <v>0</v>
      </c>
      <c r="R92" s="173">
        <f t="shared" si="32"/>
        <v>-184.93414547456979</v>
      </c>
    </row>
    <row r="93" spans="1:18" x14ac:dyDescent="0.25">
      <c r="A93" s="130">
        <v>2</v>
      </c>
      <c r="B93" s="165">
        <f t="shared" si="4"/>
        <v>45323</v>
      </c>
      <c r="C93" s="185">
        <f t="shared" si="33"/>
        <v>45356</v>
      </c>
      <c r="D93" s="185">
        <f t="shared" si="33"/>
        <v>45376</v>
      </c>
      <c r="E93" s="174" t="s">
        <v>8</v>
      </c>
      <c r="F93" s="130">
        <v>9</v>
      </c>
      <c r="G93" s="167">
        <v>62</v>
      </c>
      <c r="H93" s="168">
        <f t="shared" si="27"/>
        <v>8.3058817739101354</v>
      </c>
      <c r="I93" s="168">
        <f t="shared" si="22"/>
        <v>6.4847882839410547</v>
      </c>
      <c r="J93" s="169">
        <f t="shared" si="2"/>
        <v>402.05687360434541</v>
      </c>
      <c r="K93" s="170">
        <f t="shared" si="13"/>
        <v>514.9646699824284</v>
      </c>
      <c r="L93" s="171">
        <f t="shared" si="26"/>
        <v>-112.90779637808299</v>
      </c>
      <c r="M93" s="172">
        <f t="shared" si="28"/>
        <v>-9.0700442540801038</v>
      </c>
      <c r="N93" s="173">
        <f t="shared" si="29"/>
        <v>-121.97784063216309</v>
      </c>
      <c r="O93" s="172">
        <f t="shared" si="30"/>
        <v>0</v>
      </c>
      <c r="P93" s="172">
        <f t="shared" si="31"/>
        <v>0</v>
      </c>
      <c r="Q93" s="172">
        <v>0</v>
      </c>
      <c r="R93" s="173">
        <f t="shared" si="32"/>
        <v>-121.97784063216309</v>
      </c>
    </row>
    <row r="94" spans="1:18" x14ac:dyDescent="0.25">
      <c r="A94" s="130">
        <v>3</v>
      </c>
      <c r="B94" s="165">
        <f t="shared" si="4"/>
        <v>45352</v>
      </c>
      <c r="C94" s="185">
        <f t="shared" si="33"/>
        <v>45385</v>
      </c>
      <c r="D94" s="185">
        <f t="shared" si="33"/>
        <v>45406</v>
      </c>
      <c r="E94" s="174" t="s">
        <v>8</v>
      </c>
      <c r="F94" s="130">
        <v>9</v>
      </c>
      <c r="G94" s="167">
        <v>60</v>
      </c>
      <c r="H94" s="168">
        <f t="shared" si="27"/>
        <v>8.3058817739101354</v>
      </c>
      <c r="I94" s="168">
        <f t="shared" si="22"/>
        <v>6.4847882839410547</v>
      </c>
      <c r="J94" s="169">
        <f t="shared" si="2"/>
        <v>389.08729703646327</v>
      </c>
      <c r="K94" s="170">
        <f t="shared" ref="K94:K133" si="34">+$G94*H94</f>
        <v>498.35290643460814</v>
      </c>
      <c r="L94" s="171">
        <f>+J94-K94</f>
        <v>-109.26560939814487</v>
      </c>
      <c r="M94" s="172">
        <f t="shared" si="28"/>
        <v>-8.7774621813678433</v>
      </c>
      <c r="N94" s="173">
        <f t="shared" si="29"/>
        <v>-118.04307157951271</v>
      </c>
      <c r="O94" s="172">
        <f t="shared" si="30"/>
        <v>0</v>
      </c>
      <c r="P94" s="172">
        <f t="shared" si="31"/>
        <v>0</v>
      </c>
      <c r="Q94" s="172">
        <v>0</v>
      </c>
      <c r="R94" s="173">
        <f t="shared" si="32"/>
        <v>-118.04307157951271</v>
      </c>
    </row>
    <row r="95" spans="1:18" x14ac:dyDescent="0.25">
      <c r="A95" s="94">
        <v>4</v>
      </c>
      <c r="B95" s="165">
        <f t="shared" si="4"/>
        <v>45383</v>
      </c>
      <c r="C95" s="185">
        <f t="shared" si="33"/>
        <v>45415</v>
      </c>
      <c r="D95" s="185">
        <f t="shared" si="33"/>
        <v>45436</v>
      </c>
      <c r="E95" s="174" t="s">
        <v>8</v>
      </c>
      <c r="F95" s="130">
        <v>9</v>
      </c>
      <c r="G95" s="167">
        <v>92</v>
      </c>
      <c r="H95" s="168">
        <f t="shared" si="27"/>
        <v>8.3058817739101354</v>
      </c>
      <c r="I95" s="168">
        <f t="shared" si="22"/>
        <v>6.4847882839410547</v>
      </c>
      <c r="J95" s="169">
        <f t="shared" si="2"/>
        <v>596.60052212257699</v>
      </c>
      <c r="K95" s="170">
        <f t="shared" si="34"/>
        <v>764.14112319973242</v>
      </c>
      <c r="L95" s="171">
        <f t="shared" ref="L95:L105" si="35">+J95-K95</f>
        <v>-167.54060107715543</v>
      </c>
      <c r="M95" s="172">
        <f t="shared" si="28"/>
        <v>-13.458775344764026</v>
      </c>
      <c r="N95" s="173">
        <f t="shared" si="29"/>
        <v>-180.99937642191946</v>
      </c>
      <c r="O95" s="172">
        <f t="shared" si="30"/>
        <v>0</v>
      </c>
      <c r="P95" s="172">
        <f t="shared" si="31"/>
        <v>0</v>
      </c>
      <c r="Q95" s="172">
        <v>0</v>
      </c>
      <c r="R95" s="173">
        <f t="shared" si="32"/>
        <v>-180.99937642191946</v>
      </c>
    </row>
    <row r="96" spans="1:18" x14ac:dyDescent="0.25">
      <c r="A96" s="130">
        <v>5</v>
      </c>
      <c r="B96" s="165">
        <f t="shared" si="4"/>
        <v>45413</v>
      </c>
      <c r="C96" s="185">
        <f t="shared" ref="C96:D116" si="36">+C84</f>
        <v>45448</v>
      </c>
      <c r="D96" s="185">
        <f t="shared" si="36"/>
        <v>45467</v>
      </c>
      <c r="E96" s="52" t="s">
        <v>8</v>
      </c>
      <c r="F96" s="130">
        <v>9</v>
      </c>
      <c r="G96" s="167">
        <v>118</v>
      </c>
      <c r="H96" s="168">
        <f t="shared" si="27"/>
        <v>8.3058817739101354</v>
      </c>
      <c r="I96" s="168">
        <f t="shared" si="22"/>
        <v>6.4847882839410547</v>
      </c>
      <c r="J96" s="169">
        <f t="shared" si="2"/>
        <v>765.20501750504445</v>
      </c>
      <c r="K96" s="170">
        <f t="shared" si="34"/>
        <v>980.09404932139603</v>
      </c>
      <c r="L96" s="171">
        <f t="shared" si="35"/>
        <v>-214.88903181635158</v>
      </c>
      <c r="M96" s="172">
        <f t="shared" si="28"/>
        <v>-17.262342290023426</v>
      </c>
      <c r="N96" s="173">
        <f t="shared" si="29"/>
        <v>-232.15137410637499</v>
      </c>
      <c r="O96" s="172">
        <f t="shared" si="30"/>
        <v>0</v>
      </c>
      <c r="P96" s="172">
        <f t="shared" si="31"/>
        <v>0</v>
      </c>
      <c r="Q96" s="172">
        <v>0</v>
      </c>
      <c r="R96" s="173">
        <f t="shared" si="32"/>
        <v>-232.15137410637499</v>
      </c>
    </row>
    <row r="97" spans="1:18" x14ac:dyDescent="0.25">
      <c r="A97" s="130">
        <v>6</v>
      </c>
      <c r="B97" s="165">
        <f t="shared" si="4"/>
        <v>45444</v>
      </c>
      <c r="C97" s="185">
        <f t="shared" si="36"/>
        <v>45476</v>
      </c>
      <c r="D97" s="185">
        <f t="shared" si="36"/>
        <v>45497</v>
      </c>
      <c r="E97" s="52" t="s">
        <v>8</v>
      </c>
      <c r="F97" s="130">
        <v>9</v>
      </c>
      <c r="G97" s="167">
        <v>143</v>
      </c>
      <c r="H97" s="168">
        <f t="shared" si="27"/>
        <v>8.3058817739101354</v>
      </c>
      <c r="I97" s="168">
        <f t="shared" si="22"/>
        <v>6.4847882839410547</v>
      </c>
      <c r="J97" s="169">
        <f t="shared" si="2"/>
        <v>927.32472460357087</v>
      </c>
      <c r="K97" s="170">
        <f t="shared" si="34"/>
        <v>1187.7410936691494</v>
      </c>
      <c r="L97" s="175">
        <f t="shared" si="35"/>
        <v>-260.41636906557858</v>
      </c>
      <c r="M97" s="172">
        <f t="shared" si="28"/>
        <v>-20.919618198926692</v>
      </c>
      <c r="N97" s="173">
        <f t="shared" si="29"/>
        <v>-281.33598726450526</v>
      </c>
      <c r="O97" s="172">
        <f t="shared" si="30"/>
        <v>0</v>
      </c>
      <c r="P97" s="172">
        <f t="shared" si="31"/>
        <v>0</v>
      </c>
      <c r="Q97" s="172">
        <v>0</v>
      </c>
      <c r="R97" s="173">
        <f t="shared" si="32"/>
        <v>-281.33598726450526</v>
      </c>
    </row>
    <row r="98" spans="1:18" x14ac:dyDescent="0.25">
      <c r="A98" s="94">
        <v>7</v>
      </c>
      <c r="B98" s="165">
        <f t="shared" si="4"/>
        <v>45474</v>
      </c>
      <c r="C98" s="185">
        <f t="shared" si="36"/>
        <v>45509</v>
      </c>
      <c r="D98" s="185">
        <f t="shared" si="36"/>
        <v>45530</v>
      </c>
      <c r="E98" s="52" t="s">
        <v>8</v>
      </c>
      <c r="F98" s="130">
        <v>9</v>
      </c>
      <c r="G98" s="167">
        <v>151</v>
      </c>
      <c r="H98" s="168">
        <f t="shared" si="27"/>
        <v>8.3058817739101354</v>
      </c>
      <c r="I98" s="168">
        <f t="shared" si="22"/>
        <v>6.4847882839410547</v>
      </c>
      <c r="J98" s="169">
        <f t="shared" si="2"/>
        <v>979.20303087509922</v>
      </c>
      <c r="K98" s="176">
        <f t="shared" si="34"/>
        <v>1254.1881478604305</v>
      </c>
      <c r="L98" s="175">
        <f t="shared" si="35"/>
        <v>-274.98511698533127</v>
      </c>
      <c r="M98" s="172">
        <f t="shared" si="28"/>
        <v>-22.089946489775741</v>
      </c>
      <c r="N98" s="173">
        <f t="shared" si="29"/>
        <v>-297.07506347510702</v>
      </c>
      <c r="O98" s="172">
        <f t="shared" si="30"/>
        <v>0</v>
      </c>
      <c r="P98" s="172">
        <f t="shared" si="31"/>
        <v>0</v>
      </c>
      <c r="Q98" s="172">
        <v>0</v>
      </c>
      <c r="R98" s="173">
        <f t="shared" si="32"/>
        <v>-297.07506347510702</v>
      </c>
    </row>
    <row r="99" spans="1:18" x14ac:dyDescent="0.25">
      <c r="A99" s="130">
        <v>8</v>
      </c>
      <c r="B99" s="165">
        <f t="shared" si="4"/>
        <v>45505</v>
      </c>
      <c r="C99" s="185">
        <f t="shared" si="36"/>
        <v>45539</v>
      </c>
      <c r="D99" s="185">
        <f t="shared" si="36"/>
        <v>45559</v>
      </c>
      <c r="E99" s="52" t="s">
        <v>8</v>
      </c>
      <c r="F99" s="130">
        <v>9</v>
      </c>
      <c r="G99" s="167">
        <v>157</v>
      </c>
      <c r="H99" s="168">
        <f t="shared" si="27"/>
        <v>8.3058817739101354</v>
      </c>
      <c r="I99" s="168">
        <f t="shared" si="22"/>
        <v>6.4847882839410547</v>
      </c>
      <c r="J99" s="169">
        <f t="shared" si="2"/>
        <v>1018.1117605787456</v>
      </c>
      <c r="K99" s="176">
        <f t="shared" si="34"/>
        <v>1304.0234385038912</v>
      </c>
      <c r="L99" s="175">
        <f t="shared" si="35"/>
        <v>-285.91167792514557</v>
      </c>
      <c r="M99" s="172">
        <f t="shared" si="28"/>
        <v>-22.967692707912523</v>
      </c>
      <c r="N99" s="173">
        <f t="shared" si="29"/>
        <v>-308.8793706330581</v>
      </c>
      <c r="O99" s="172">
        <f t="shared" si="30"/>
        <v>0</v>
      </c>
      <c r="P99" s="172">
        <f t="shared" si="31"/>
        <v>0</v>
      </c>
      <c r="Q99" s="172">
        <v>0</v>
      </c>
      <c r="R99" s="173">
        <f t="shared" si="32"/>
        <v>-308.8793706330581</v>
      </c>
    </row>
    <row r="100" spans="1:18" x14ac:dyDescent="0.25">
      <c r="A100" s="130">
        <v>9</v>
      </c>
      <c r="B100" s="165">
        <f t="shared" si="4"/>
        <v>45536</v>
      </c>
      <c r="C100" s="185">
        <f t="shared" si="36"/>
        <v>45568</v>
      </c>
      <c r="D100" s="185">
        <f t="shared" si="36"/>
        <v>45589</v>
      </c>
      <c r="E100" s="52" t="s">
        <v>8</v>
      </c>
      <c r="F100" s="130">
        <v>9</v>
      </c>
      <c r="G100" s="167">
        <v>146</v>
      </c>
      <c r="H100" s="168">
        <f t="shared" si="27"/>
        <v>8.3058817739101354</v>
      </c>
      <c r="I100" s="168">
        <f t="shared" si="22"/>
        <v>6.4847882839410547</v>
      </c>
      <c r="J100" s="169">
        <f t="shared" si="2"/>
        <v>946.779089455394</v>
      </c>
      <c r="K100" s="176">
        <f t="shared" si="34"/>
        <v>1212.6587389908798</v>
      </c>
      <c r="L100" s="175">
        <f t="shared" si="35"/>
        <v>-265.87964953548578</v>
      </c>
      <c r="M100" s="172">
        <f t="shared" si="28"/>
        <v>-21.358491307995084</v>
      </c>
      <c r="N100" s="173">
        <f t="shared" si="29"/>
        <v>-287.23814084348089</v>
      </c>
      <c r="O100" s="172">
        <f t="shared" si="30"/>
        <v>0</v>
      </c>
      <c r="P100" s="172">
        <f t="shared" si="31"/>
        <v>0</v>
      </c>
      <c r="Q100" s="172">
        <v>0</v>
      </c>
      <c r="R100" s="173">
        <f t="shared" si="32"/>
        <v>-287.23814084348089</v>
      </c>
    </row>
    <row r="101" spans="1:18" x14ac:dyDescent="0.25">
      <c r="A101" s="94">
        <v>10</v>
      </c>
      <c r="B101" s="165">
        <f t="shared" si="4"/>
        <v>45566</v>
      </c>
      <c r="C101" s="185">
        <f t="shared" si="36"/>
        <v>45601</v>
      </c>
      <c r="D101" s="185">
        <f t="shared" si="36"/>
        <v>45621</v>
      </c>
      <c r="E101" s="52" t="s">
        <v>8</v>
      </c>
      <c r="F101" s="130">
        <v>9</v>
      </c>
      <c r="G101" s="167">
        <v>116</v>
      </c>
      <c r="H101" s="168">
        <f t="shared" si="27"/>
        <v>8.3058817739101354</v>
      </c>
      <c r="I101" s="168">
        <f t="shared" si="22"/>
        <v>6.4847882839410547</v>
      </c>
      <c r="J101" s="169">
        <f t="shared" si="2"/>
        <v>752.23544093716237</v>
      </c>
      <c r="K101" s="176">
        <f t="shared" si="34"/>
        <v>963.48228577357565</v>
      </c>
      <c r="L101" s="175">
        <f t="shared" si="35"/>
        <v>-211.24684483641329</v>
      </c>
      <c r="M101" s="172">
        <f t="shared" si="28"/>
        <v>-16.969760217311162</v>
      </c>
      <c r="N101" s="173">
        <f t="shared" si="29"/>
        <v>-228.21660505372444</v>
      </c>
      <c r="O101" s="172">
        <f t="shared" si="30"/>
        <v>0</v>
      </c>
      <c r="P101" s="172">
        <f t="shared" si="31"/>
        <v>0</v>
      </c>
      <c r="Q101" s="172">
        <v>0</v>
      </c>
      <c r="R101" s="173">
        <f t="shared" si="32"/>
        <v>-228.21660505372444</v>
      </c>
    </row>
    <row r="102" spans="1:18" x14ac:dyDescent="0.25">
      <c r="A102" s="130">
        <v>11</v>
      </c>
      <c r="B102" s="165">
        <f t="shared" si="4"/>
        <v>45597</v>
      </c>
      <c r="C102" s="185">
        <f t="shared" si="36"/>
        <v>45630</v>
      </c>
      <c r="D102" s="185">
        <f t="shared" si="36"/>
        <v>45650</v>
      </c>
      <c r="E102" s="52" t="s">
        <v>8</v>
      </c>
      <c r="F102" s="130">
        <v>9</v>
      </c>
      <c r="G102" s="167">
        <v>62</v>
      </c>
      <c r="H102" s="168">
        <f t="shared" si="27"/>
        <v>8.3058817739101354</v>
      </c>
      <c r="I102" s="168">
        <f t="shared" si="22"/>
        <v>6.4847882839410547</v>
      </c>
      <c r="J102" s="169">
        <f t="shared" si="2"/>
        <v>402.05687360434541</v>
      </c>
      <c r="K102" s="176">
        <f t="shared" si="34"/>
        <v>514.9646699824284</v>
      </c>
      <c r="L102" s="175">
        <f t="shared" si="35"/>
        <v>-112.90779637808299</v>
      </c>
      <c r="M102" s="172">
        <f t="shared" si="28"/>
        <v>-9.0700442540801038</v>
      </c>
      <c r="N102" s="173">
        <f t="shared" si="29"/>
        <v>-121.97784063216309</v>
      </c>
      <c r="O102" s="172">
        <f t="shared" si="30"/>
        <v>0</v>
      </c>
      <c r="P102" s="172">
        <f t="shared" si="31"/>
        <v>0</v>
      </c>
      <c r="Q102" s="172">
        <v>0</v>
      </c>
      <c r="R102" s="173">
        <f t="shared" si="32"/>
        <v>-121.97784063216309</v>
      </c>
    </row>
    <row r="103" spans="1:18" s="189" customFormat="1" x14ac:dyDescent="0.25">
      <c r="A103" s="130">
        <v>12</v>
      </c>
      <c r="B103" s="187">
        <f t="shared" si="4"/>
        <v>45627</v>
      </c>
      <c r="C103" s="185">
        <f t="shared" si="36"/>
        <v>45660</v>
      </c>
      <c r="D103" s="185">
        <f t="shared" si="36"/>
        <v>45681</v>
      </c>
      <c r="E103" s="188" t="s">
        <v>8</v>
      </c>
      <c r="F103" s="141">
        <v>9</v>
      </c>
      <c r="G103" s="167">
        <v>77</v>
      </c>
      <c r="H103" s="177">
        <f t="shared" si="27"/>
        <v>8.3058817739101354</v>
      </c>
      <c r="I103" s="177">
        <f t="shared" si="22"/>
        <v>6.4847882839410547</v>
      </c>
      <c r="J103" s="178">
        <f t="shared" si="2"/>
        <v>499.32869786346123</v>
      </c>
      <c r="K103" s="179">
        <f t="shared" si="34"/>
        <v>639.55289659108041</v>
      </c>
      <c r="L103" s="180">
        <f t="shared" si="35"/>
        <v>-140.22419872761918</v>
      </c>
      <c r="M103" s="172">
        <f t="shared" si="28"/>
        <v>-11.264409799422065</v>
      </c>
      <c r="N103" s="173">
        <f t="shared" si="29"/>
        <v>-151.48860852704124</v>
      </c>
      <c r="O103" s="172">
        <f t="shared" si="30"/>
        <v>0</v>
      </c>
      <c r="P103" s="172">
        <f t="shared" si="31"/>
        <v>0</v>
      </c>
      <c r="Q103" s="172">
        <v>0</v>
      </c>
      <c r="R103" s="173">
        <f t="shared" si="32"/>
        <v>-151.48860852704124</v>
      </c>
    </row>
    <row r="104" spans="1:18" x14ac:dyDescent="0.25">
      <c r="A104" s="94">
        <v>1</v>
      </c>
      <c r="B104" s="165">
        <f t="shared" si="4"/>
        <v>45292</v>
      </c>
      <c r="C104" s="182">
        <f t="shared" si="36"/>
        <v>45327</v>
      </c>
      <c r="D104" s="182">
        <f t="shared" si="36"/>
        <v>45348</v>
      </c>
      <c r="E104" s="166" t="s">
        <v>19</v>
      </c>
      <c r="F104" s="94">
        <v>9</v>
      </c>
      <c r="G104" s="167">
        <v>65</v>
      </c>
      <c r="H104" s="168">
        <f t="shared" si="27"/>
        <v>8.3058817739101354</v>
      </c>
      <c r="I104" s="168">
        <f t="shared" si="22"/>
        <v>6.4847882839410547</v>
      </c>
      <c r="J104" s="169">
        <f t="shared" si="2"/>
        <v>421.51123845616854</v>
      </c>
      <c r="K104" s="170">
        <f t="shared" si="34"/>
        <v>539.88231530415885</v>
      </c>
      <c r="L104" s="171">
        <f t="shared" si="35"/>
        <v>-118.37107684799031</v>
      </c>
      <c r="M104" s="172">
        <f t="shared" si="28"/>
        <v>-9.5089173631484982</v>
      </c>
      <c r="N104" s="173">
        <f t="shared" si="29"/>
        <v>-127.87999421113881</v>
      </c>
      <c r="O104" s="172">
        <f t="shared" si="30"/>
        <v>0</v>
      </c>
      <c r="P104" s="172">
        <f t="shared" si="31"/>
        <v>0</v>
      </c>
      <c r="Q104" s="172">
        <v>0</v>
      </c>
      <c r="R104" s="173">
        <f t="shared" si="32"/>
        <v>-127.87999421113881</v>
      </c>
    </row>
    <row r="105" spans="1:18" x14ac:dyDescent="0.25">
      <c r="A105" s="130">
        <v>2</v>
      </c>
      <c r="B105" s="165">
        <f t="shared" si="4"/>
        <v>45323</v>
      </c>
      <c r="C105" s="185">
        <f t="shared" si="36"/>
        <v>45356</v>
      </c>
      <c r="D105" s="185">
        <f t="shared" si="36"/>
        <v>45376</v>
      </c>
      <c r="E105" s="174" t="s">
        <v>19</v>
      </c>
      <c r="F105" s="130">
        <v>9</v>
      </c>
      <c r="G105" s="167">
        <v>65</v>
      </c>
      <c r="H105" s="168">
        <f t="shared" si="27"/>
        <v>8.3058817739101354</v>
      </c>
      <c r="I105" s="168">
        <f t="shared" si="22"/>
        <v>6.4847882839410547</v>
      </c>
      <c r="J105" s="169">
        <f t="shared" si="2"/>
        <v>421.51123845616854</v>
      </c>
      <c r="K105" s="170">
        <f t="shared" si="34"/>
        <v>539.88231530415885</v>
      </c>
      <c r="L105" s="171">
        <f t="shared" si="35"/>
        <v>-118.37107684799031</v>
      </c>
      <c r="M105" s="172">
        <f t="shared" si="28"/>
        <v>-9.5089173631484982</v>
      </c>
      <c r="N105" s="173">
        <f t="shared" si="29"/>
        <v>-127.87999421113881</v>
      </c>
      <c r="O105" s="172">
        <f t="shared" si="30"/>
        <v>0</v>
      </c>
      <c r="P105" s="172">
        <f t="shared" si="31"/>
        <v>0</v>
      </c>
      <c r="Q105" s="172">
        <v>0</v>
      </c>
      <c r="R105" s="173">
        <f t="shared" si="32"/>
        <v>-127.87999421113881</v>
      </c>
    </row>
    <row r="106" spans="1:18" x14ac:dyDescent="0.25">
      <c r="A106" s="130">
        <v>3</v>
      </c>
      <c r="B106" s="165">
        <f t="shared" si="4"/>
        <v>45352</v>
      </c>
      <c r="C106" s="185">
        <f t="shared" si="36"/>
        <v>45385</v>
      </c>
      <c r="D106" s="185">
        <f t="shared" si="36"/>
        <v>45406</v>
      </c>
      <c r="E106" s="174" t="s">
        <v>19</v>
      </c>
      <c r="F106" s="130">
        <v>9</v>
      </c>
      <c r="G106" s="167">
        <v>64</v>
      </c>
      <c r="H106" s="168">
        <f t="shared" si="27"/>
        <v>8.3058817739101354</v>
      </c>
      <c r="I106" s="168">
        <f t="shared" si="22"/>
        <v>6.4847882839410547</v>
      </c>
      <c r="J106" s="169">
        <f t="shared" si="2"/>
        <v>415.0264501722275</v>
      </c>
      <c r="K106" s="170">
        <f t="shared" si="34"/>
        <v>531.57643353024866</v>
      </c>
      <c r="L106" s="171">
        <f>+J106-K106</f>
        <v>-116.54998335802117</v>
      </c>
      <c r="M106" s="172">
        <f t="shared" si="28"/>
        <v>-9.3626263267923662</v>
      </c>
      <c r="N106" s="173">
        <f t="shared" si="29"/>
        <v>-125.91260968481353</v>
      </c>
      <c r="O106" s="172">
        <f t="shared" si="30"/>
        <v>0</v>
      </c>
      <c r="P106" s="172">
        <f t="shared" si="31"/>
        <v>0</v>
      </c>
      <c r="Q106" s="172">
        <v>0</v>
      </c>
      <c r="R106" s="173">
        <f t="shared" si="32"/>
        <v>-125.91260968481353</v>
      </c>
    </row>
    <row r="107" spans="1:18" x14ac:dyDescent="0.25">
      <c r="A107" s="94">
        <v>4</v>
      </c>
      <c r="B107" s="165">
        <f t="shared" si="4"/>
        <v>45383</v>
      </c>
      <c r="C107" s="185">
        <f t="shared" si="36"/>
        <v>45415</v>
      </c>
      <c r="D107" s="185">
        <f t="shared" si="36"/>
        <v>45436</v>
      </c>
      <c r="E107" s="52" t="s">
        <v>19</v>
      </c>
      <c r="F107" s="130">
        <v>9</v>
      </c>
      <c r="G107" s="167">
        <v>65</v>
      </c>
      <c r="H107" s="168">
        <f t="shared" si="27"/>
        <v>8.3058817739101354</v>
      </c>
      <c r="I107" s="168">
        <f t="shared" si="22"/>
        <v>6.4847882839410547</v>
      </c>
      <c r="J107" s="169">
        <f t="shared" si="2"/>
        <v>421.51123845616854</v>
      </c>
      <c r="K107" s="170">
        <f t="shared" si="34"/>
        <v>539.88231530415885</v>
      </c>
      <c r="L107" s="171">
        <f t="shared" ref="L107:L115" si="37">+J107-K107</f>
        <v>-118.37107684799031</v>
      </c>
      <c r="M107" s="172">
        <f t="shared" si="28"/>
        <v>-9.5089173631484982</v>
      </c>
      <c r="N107" s="173">
        <f t="shared" si="29"/>
        <v>-127.87999421113881</v>
      </c>
      <c r="O107" s="172">
        <f t="shared" si="30"/>
        <v>0</v>
      </c>
      <c r="P107" s="172">
        <f t="shared" si="31"/>
        <v>0</v>
      </c>
      <c r="Q107" s="172">
        <v>0</v>
      </c>
      <c r="R107" s="173">
        <f t="shared" si="32"/>
        <v>-127.87999421113881</v>
      </c>
    </row>
    <row r="108" spans="1:18" x14ac:dyDescent="0.25">
      <c r="A108" s="130">
        <v>5</v>
      </c>
      <c r="B108" s="165">
        <f t="shared" si="4"/>
        <v>45413</v>
      </c>
      <c r="C108" s="185">
        <f t="shared" si="36"/>
        <v>45448</v>
      </c>
      <c r="D108" s="185">
        <f t="shared" si="36"/>
        <v>45467</v>
      </c>
      <c r="E108" s="52" t="s">
        <v>19</v>
      </c>
      <c r="F108" s="130">
        <v>9</v>
      </c>
      <c r="G108" s="167">
        <v>51</v>
      </c>
      <c r="H108" s="168">
        <f t="shared" si="27"/>
        <v>8.3058817739101354</v>
      </c>
      <c r="I108" s="168">
        <f t="shared" ref="I108:I127" si="38">$J$3</f>
        <v>6.4847882839410547</v>
      </c>
      <c r="J108" s="169">
        <f t="shared" si="2"/>
        <v>330.72420248099377</v>
      </c>
      <c r="K108" s="170">
        <f t="shared" si="34"/>
        <v>423.59997046941692</v>
      </c>
      <c r="L108" s="171">
        <f t="shared" si="37"/>
        <v>-92.875767988423149</v>
      </c>
      <c r="M108" s="172">
        <f t="shared" si="28"/>
        <v>-7.4608428541626663</v>
      </c>
      <c r="N108" s="173">
        <f t="shared" si="29"/>
        <v>-100.33661084258581</v>
      </c>
      <c r="O108" s="172">
        <f t="shared" si="30"/>
        <v>0</v>
      </c>
      <c r="P108" s="172">
        <f t="shared" si="31"/>
        <v>0</v>
      </c>
      <c r="Q108" s="172">
        <v>0</v>
      </c>
      <c r="R108" s="173">
        <f t="shared" si="32"/>
        <v>-100.33661084258581</v>
      </c>
    </row>
    <row r="109" spans="1:18" x14ac:dyDescent="0.25">
      <c r="A109" s="130">
        <v>6</v>
      </c>
      <c r="B109" s="165">
        <f t="shared" ref="B109:B148" si="39">DATE($R$1,A109,1)</f>
        <v>45444</v>
      </c>
      <c r="C109" s="185">
        <f t="shared" si="36"/>
        <v>45476</v>
      </c>
      <c r="D109" s="185">
        <f t="shared" si="36"/>
        <v>45497</v>
      </c>
      <c r="E109" s="52" t="s">
        <v>19</v>
      </c>
      <c r="F109" s="130">
        <v>9</v>
      </c>
      <c r="G109" s="167">
        <v>59</v>
      </c>
      <c r="H109" s="168">
        <f t="shared" si="27"/>
        <v>8.3058817739101354</v>
      </c>
      <c r="I109" s="168">
        <f t="shared" si="38"/>
        <v>6.4847882839410547</v>
      </c>
      <c r="J109" s="169">
        <f t="shared" ref="J109:J148" si="40">+$G109*I109</f>
        <v>382.60250875252223</v>
      </c>
      <c r="K109" s="170">
        <f t="shared" si="34"/>
        <v>490.04702466069801</v>
      </c>
      <c r="L109" s="175">
        <f t="shared" si="37"/>
        <v>-107.44451590817579</v>
      </c>
      <c r="M109" s="172">
        <f t="shared" si="28"/>
        <v>-8.631171145011713</v>
      </c>
      <c r="N109" s="173">
        <f t="shared" si="29"/>
        <v>-116.07568705318749</v>
      </c>
      <c r="O109" s="172">
        <f t="shared" si="30"/>
        <v>0</v>
      </c>
      <c r="P109" s="172">
        <f t="shared" si="31"/>
        <v>0</v>
      </c>
      <c r="Q109" s="172">
        <v>0</v>
      </c>
      <c r="R109" s="173">
        <f t="shared" si="32"/>
        <v>-116.07568705318749</v>
      </c>
    </row>
    <row r="110" spans="1:18" x14ac:dyDescent="0.25">
      <c r="A110" s="94">
        <v>7</v>
      </c>
      <c r="B110" s="165">
        <f t="shared" si="39"/>
        <v>45474</v>
      </c>
      <c r="C110" s="185">
        <f t="shared" si="36"/>
        <v>45509</v>
      </c>
      <c r="D110" s="185">
        <f t="shared" si="36"/>
        <v>45530</v>
      </c>
      <c r="E110" s="52" t="s">
        <v>19</v>
      </c>
      <c r="F110" s="130">
        <v>9</v>
      </c>
      <c r="G110" s="167">
        <v>67</v>
      </c>
      <c r="H110" s="168">
        <f t="shared" si="27"/>
        <v>8.3058817739101354</v>
      </c>
      <c r="I110" s="168">
        <f t="shared" si="38"/>
        <v>6.4847882839410547</v>
      </c>
      <c r="J110" s="169">
        <f t="shared" si="40"/>
        <v>434.48081502405068</v>
      </c>
      <c r="K110" s="176">
        <f t="shared" si="34"/>
        <v>556.49407885197911</v>
      </c>
      <c r="L110" s="175">
        <f t="shared" si="37"/>
        <v>-122.01326382792843</v>
      </c>
      <c r="M110" s="172">
        <f t="shared" si="28"/>
        <v>-9.8014994358607588</v>
      </c>
      <c r="N110" s="173">
        <f t="shared" si="29"/>
        <v>-131.81476326378919</v>
      </c>
      <c r="O110" s="172">
        <f t="shared" si="30"/>
        <v>0</v>
      </c>
      <c r="P110" s="172">
        <f t="shared" si="31"/>
        <v>0</v>
      </c>
      <c r="Q110" s="172">
        <v>0</v>
      </c>
      <c r="R110" s="173">
        <f t="shared" si="32"/>
        <v>-131.81476326378919</v>
      </c>
    </row>
    <row r="111" spans="1:18" x14ac:dyDescent="0.25">
      <c r="A111" s="130">
        <v>8</v>
      </c>
      <c r="B111" s="165">
        <f t="shared" si="39"/>
        <v>45505</v>
      </c>
      <c r="C111" s="185">
        <f t="shared" si="36"/>
        <v>45539</v>
      </c>
      <c r="D111" s="185">
        <f t="shared" si="36"/>
        <v>45559</v>
      </c>
      <c r="E111" s="52" t="s">
        <v>19</v>
      </c>
      <c r="F111" s="130">
        <v>9</v>
      </c>
      <c r="G111" s="167">
        <v>70</v>
      </c>
      <c r="H111" s="168">
        <f t="shared" si="27"/>
        <v>8.3058817739101354</v>
      </c>
      <c r="I111" s="168">
        <f t="shared" si="38"/>
        <v>6.4847882839410547</v>
      </c>
      <c r="J111" s="169">
        <f t="shared" si="40"/>
        <v>453.93517987587381</v>
      </c>
      <c r="K111" s="176">
        <f t="shared" si="34"/>
        <v>581.41172417370944</v>
      </c>
      <c r="L111" s="175">
        <f t="shared" si="37"/>
        <v>-127.47654429783563</v>
      </c>
      <c r="M111" s="172">
        <f t="shared" si="28"/>
        <v>-10.240372544929151</v>
      </c>
      <c r="N111" s="173">
        <f t="shared" si="29"/>
        <v>-137.71691684276479</v>
      </c>
      <c r="O111" s="172">
        <f t="shared" si="30"/>
        <v>0</v>
      </c>
      <c r="P111" s="172">
        <f t="shared" si="31"/>
        <v>0</v>
      </c>
      <c r="Q111" s="172">
        <v>0</v>
      </c>
      <c r="R111" s="173">
        <f t="shared" si="32"/>
        <v>-137.71691684276479</v>
      </c>
    </row>
    <row r="112" spans="1:18" x14ac:dyDescent="0.25">
      <c r="A112" s="130">
        <v>9</v>
      </c>
      <c r="B112" s="165">
        <f t="shared" si="39"/>
        <v>45536</v>
      </c>
      <c r="C112" s="185">
        <f t="shared" si="36"/>
        <v>45568</v>
      </c>
      <c r="D112" s="185">
        <f t="shared" si="36"/>
        <v>45589</v>
      </c>
      <c r="E112" s="52" t="s">
        <v>19</v>
      </c>
      <c r="F112" s="130">
        <v>9</v>
      </c>
      <c r="G112" s="167">
        <v>72</v>
      </c>
      <c r="H112" s="168">
        <f t="shared" si="27"/>
        <v>8.3058817739101354</v>
      </c>
      <c r="I112" s="168">
        <f t="shared" si="38"/>
        <v>6.4847882839410547</v>
      </c>
      <c r="J112" s="169">
        <f t="shared" si="40"/>
        <v>466.90475644375596</v>
      </c>
      <c r="K112" s="176">
        <f t="shared" si="34"/>
        <v>598.0234877215297</v>
      </c>
      <c r="L112" s="175">
        <f t="shared" si="37"/>
        <v>-131.11873127777375</v>
      </c>
      <c r="M112" s="172">
        <f t="shared" si="28"/>
        <v>-10.532954617641414</v>
      </c>
      <c r="N112" s="173">
        <f t="shared" si="29"/>
        <v>-141.65168589541517</v>
      </c>
      <c r="O112" s="172">
        <f t="shared" si="30"/>
        <v>0</v>
      </c>
      <c r="P112" s="172">
        <f t="shared" si="31"/>
        <v>0</v>
      </c>
      <c r="Q112" s="172">
        <v>0</v>
      </c>
      <c r="R112" s="173">
        <f t="shared" si="32"/>
        <v>-141.65168589541517</v>
      </c>
    </row>
    <row r="113" spans="1:18" x14ac:dyDescent="0.25">
      <c r="A113" s="94">
        <v>10</v>
      </c>
      <c r="B113" s="165">
        <f t="shared" si="39"/>
        <v>45566</v>
      </c>
      <c r="C113" s="185">
        <f t="shared" si="36"/>
        <v>45601</v>
      </c>
      <c r="D113" s="185">
        <f t="shared" si="36"/>
        <v>45621</v>
      </c>
      <c r="E113" s="52" t="s">
        <v>19</v>
      </c>
      <c r="F113" s="130">
        <v>9</v>
      </c>
      <c r="G113" s="167">
        <v>73</v>
      </c>
      <c r="H113" s="168">
        <f t="shared" si="27"/>
        <v>8.3058817739101354</v>
      </c>
      <c r="I113" s="168">
        <f t="shared" si="38"/>
        <v>6.4847882839410547</v>
      </c>
      <c r="J113" s="169">
        <f t="shared" si="40"/>
        <v>473.389544727697</v>
      </c>
      <c r="K113" s="176">
        <f t="shared" si="34"/>
        <v>606.32936949543989</v>
      </c>
      <c r="L113" s="175">
        <f t="shared" si="37"/>
        <v>-132.93982476774289</v>
      </c>
      <c r="M113" s="172">
        <f t="shared" si="28"/>
        <v>-10.679245653997542</v>
      </c>
      <c r="N113" s="173">
        <f t="shared" si="29"/>
        <v>-143.61907042174045</v>
      </c>
      <c r="O113" s="172">
        <f t="shared" si="30"/>
        <v>0</v>
      </c>
      <c r="P113" s="172">
        <f t="shared" si="31"/>
        <v>0</v>
      </c>
      <c r="Q113" s="172">
        <v>0</v>
      </c>
      <c r="R113" s="173">
        <f t="shared" si="32"/>
        <v>-143.61907042174045</v>
      </c>
    </row>
    <row r="114" spans="1:18" x14ac:dyDescent="0.25">
      <c r="A114" s="130">
        <v>11</v>
      </c>
      <c r="B114" s="165">
        <f t="shared" si="39"/>
        <v>45597</v>
      </c>
      <c r="C114" s="185">
        <f t="shared" si="36"/>
        <v>45630</v>
      </c>
      <c r="D114" s="185">
        <f t="shared" si="36"/>
        <v>45650</v>
      </c>
      <c r="E114" s="52" t="s">
        <v>19</v>
      </c>
      <c r="F114" s="130">
        <v>9</v>
      </c>
      <c r="G114" s="167">
        <v>72</v>
      </c>
      <c r="H114" s="168">
        <f t="shared" si="27"/>
        <v>8.3058817739101354</v>
      </c>
      <c r="I114" s="168">
        <f t="shared" si="38"/>
        <v>6.4847882839410547</v>
      </c>
      <c r="J114" s="169">
        <f t="shared" si="40"/>
        <v>466.90475644375596</v>
      </c>
      <c r="K114" s="176">
        <f t="shared" si="34"/>
        <v>598.0234877215297</v>
      </c>
      <c r="L114" s="175">
        <f t="shared" si="37"/>
        <v>-131.11873127777375</v>
      </c>
      <c r="M114" s="172">
        <f t="shared" si="28"/>
        <v>-10.532954617641414</v>
      </c>
      <c r="N114" s="173">
        <f t="shared" si="29"/>
        <v>-141.65168589541517</v>
      </c>
      <c r="O114" s="172">
        <f t="shared" si="30"/>
        <v>0</v>
      </c>
      <c r="P114" s="172">
        <f t="shared" si="31"/>
        <v>0</v>
      </c>
      <c r="Q114" s="172">
        <v>0</v>
      </c>
      <c r="R114" s="173">
        <f t="shared" si="32"/>
        <v>-141.65168589541517</v>
      </c>
    </row>
    <row r="115" spans="1:18" s="189" customFormat="1" x14ac:dyDescent="0.25">
      <c r="A115" s="130">
        <v>12</v>
      </c>
      <c r="B115" s="187">
        <f t="shared" si="39"/>
        <v>45627</v>
      </c>
      <c r="C115" s="190">
        <f t="shared" si="36"/>
        <v>45660</v>
      </c>
      <c r="D115" s="190">
        <f t="shared" si="36"/>
        <v>45681</v>
      </c>
      <c r="E115" s="188" t="s">
        <v>19</v>
      </c>
      <c r="F115" s="141">
        <v>9</v>
      </c>
      <c r="G115" s="167">
        <v>65</v>
      </c>
      <c r="H115" s="177">
        <f t="shared" si="27"/>
        <v>8.3058817739101354</v>
      </c>
      <c r="I115" s="177">
        <f t="shared" si="38"/>
        <v>6.4847882839410547</v>
      </c>
      <c r="J115" s="178">
        <f t="shared" si="40"/>
        <v>421.51123845616854</v>
      </c>
      <c r="K115" s="179">
        <f t="shared" si="34"/>
        <v>539.88231530415885</v>
      </c>
      <c r="L115" s="180">
        <f t="shared" si="37"/>
        <v>-118.37107684799031</v>
      </c>
      <c r="M115" s="172">
        <f t="shared" si="28"/>
        <v>-9.5089173631484982</v>
      </c>
      <c r="N115" s="173">
        <f t="shared" si="29"/>
        <v>-127.87999421113881</v>
      </c>
      <c r="O115" s="172">
        <f t="shared" si="30"/>
        <v>0</v>
      </c>
      <c r="P115" s="172">
        <f t="shared" si="31"/>
        <v>0</v>
      </c>
      <c r="Q115" s="172">
        <v>0</v>
      </c>
      <c r="R115" s="173">
        <f t="shared" si="32"/>
        <v>-127.87999421113881</v>
      </c>
    </row>
    <row r="116" spans="1:18" x14ac:dyDescent="0.25">
      <c r="A116" s="94">
        <v>1</v>
      </c>
      <c r="B116" s="165">
        <f t="shared" si="39"/>
        <v>45292</v>
      </c>
      <c r="C116" s="185">
        <f t="shared" si="36"/>
        <v>45327</v>
      </c>
      <c r="D116" s="185">
        <f t="shared" si="36"/>
        <v>45348</v>
      </c>
      <c r="E116" s="166" t="s">
        <v>13</v>
      </c>
      <c r="F116" s="94">
        <v>9</v>
      </c>
      <c r="G116" s="167">
        <v>1452</v>
      </c>
      <c r="H116" s="168">
        <f t="shared" si="27"/>
        <v>8.3058817739101354</v>
      </c>
      <c r="I116" s="168">
        <f t="shared" si="38"/>
        <v>6.4847882839410547</v>
      </c>
      <c r="J116" s="169">
        <f t="shared" si="40"/>
        <v>9415.9125882824119</v>
      </c>
      <c r="K116" s="170">
        <f t="shared" si="34"/>
        <v>12060.140335717517</v>
      </c>
      <c r="L116" s="171">
        <f>+J116-K116</f>
        <v>-2644.2277474351049</v>
      </c>
      <c r="M116" s="172">
        <f t="shared" si="28"/>
        <v>-212.41458478910181</v>
      </c>
      <c r="N116" s="173">
        <f t="shared" si="29"/>
        <v>-2856.6423322242067</v>
      </c>
      <c r="O116" s="172">
        <f t="shared" si="30"/>
        <v>0</v>
      </c>
      <c r="P116" s="172">
        <f t="shared" si="31"/>
        <v>0</v>
      </c>
      <c r="Q116" s="172">
        <v>0</v>
      </c>
      <c r="R116" s="173">
        <f t="shared" si="32"/>
        <v>-2856.6423322242067</v>
      </c>
    </row>
    <row r="117" spans="1:18" x14ac:dyDescent="0.25">
      <c r="A117" s="130">
        <v>2</v>
      </c>
      <c r="B117" s="165">
        <f t="shared" si="39"/>
        <v>45323</v>
      </c>
      <c r="C117" s="185">
        <f t="shared" ref="C117:D139" si="41">+C105</f>
        <v>45356</v>
      </c>
      <c r="D117" s="185">
        <f t="shared" si="41"/>
        <v>45376</v>
      </c>
      <c r="E117" s="174" t="s">
        <v>13</v>
      </c>
      <c r="F117" s="130">
        <v>9</v>
      </c>
      <c r="G117" s="167">
        <v>966</v>
      </c>
      <c r="H117" s="168">
        <f t="shared" si="27"/>
        <v>8.3058817739101354</v>
      </c>
      <c r="I117" s="168">
        <f t="shared" si="38"/>
        <v>6.4847882839410547</v>
      </c>
      <c r="J117" s="169">
        <f t="shared" si="40"/>
        <v>6264.305482287059</v>
      </c>
      <c r="K117" s="170">
        <f t="shared" si="34"/>
        <v>8023.4817935971905</v>
      </c>
      <c r="L117" s="171">
        <f>+J117-K117</f>
        <v>-1759.1763113101315</v>
      </c>
      <c r="M117" s="172">
        <f t="shared" si="28"/>
        <v>-141.31714112002228</v>
      </c>
      <c r="N117" s="173">
        <f t="shared" si="29"/>
        <v>-1900.4934524301539</v>
      </c>
      <c r="O117" s="172">
        <f t="shared" si="30"/>
        <v>0</v>
      </c>
      <c r="P117" s="172">
        <f t="shared" si="31"/>
        <v>0</v>
      </c>
      <c r="Q117" s="172">
        <v>0</v>
      </c>
      <c r="R117" s="173">
        <f t="shared" si="32"/>
        <v>-1900.4934524301539</v>
      </c>
    </row>
    <row r="118" spans="1:18" x14ac:dyDescent="0.25">
      <c r="A118" s="130">
        <v>3</v>
      </c>
      <c r="B118" s="165">
        <f t="shared" si="39"/>
        <v>45352</v>
      </c>
      <c r="C118" s="185">
        <f t="shared" si="41"/>
        <v>45385</v>
      </c>
      <c r="D118" s="185">
        <f t="shared" si="41"/>
        <v>45406</v>
      </c>
      <c r="E118" s="174" t="s">
        <v>13</v>
      </c>
      <c r="F118" s="130">
        <v>9</v>
      </c>
      <c r="G118" s="167">
        <v>732</v>
      </c>
      <c r="H118" s="168">
        <f t="shared" si="27"/>
        <v>8.3058817739101354</v>
      </c>
      <c r="I118" s="168">
        <f t="shared" si="38"/>
        <v>6.4847882839410547</v>
      </c>
      <c r="J118" s="169">
        <f t="shared" si="40"/>
        <v>4746.8650238448517</v>
      </c>
      <c r="K118" s="170">
        <f t="shared" si="34"/>
        <v>6079.9054585022195</v>
      </c>
      <c r="L118" s="171">
        <f>+J118-K118</f>
        <v>-1333.0404346573678</v>
      </c>
      <c r="M118" s="172">
        <f t="shared" si="28"/>
        <v>-107.0850386126877</v>
      </c>
      <c r="N118" s="173">
        <f t="shared" si="29"/>
        <v>-1440.1254732700554</v>
      </c>
      <c r="O118" s="172">
        <f t="shared" si="30"/>
        <v>0</v>
      </c>
      <c r="P118" s="172">
        <f t="shared" si="31"/>
        <v>0</v>
      </c>
      <c r="Q118" s="172">
        <v>0</v>
      </c>
      <c r="R118" s="173">
        <f t="shared" si="32"/>
        <v>-1440.1254732700554</v>
      </c>
    </row>
    <row r="119" spans="1:18" x14ac:dyDescent="0.25">
      <c r="A119" s="94">
        <v>4</v>
      </c>
      <c r="B119" s="165">
        <f t="shared" si="39"/>
        <v>45383</v>
      </c>
      <c r="C119" s="185">
        <f t="shared" si="41"/>
        <v>45415</v>
      </c>
      <c r="D119" s="185">
        <f t="shared" si="41"/>
        <v>45436</v>
      </c>
      <c r="E119" s="52" t="s">
        <v>13</v>
      </c>
      <c r="F119" s="130">
        <v>9</v>
      </c>
      <c r="G119" s="167">
        <v>547</v>
      </c>
      <c r="H119" s="168">
        <f t="shared" si="27"/>
        <v>8.3058817739101354</v>
      </c>
      <c r="I119" s="168">
        <f t="shared" si="38"/>
        <v>6.4847882839410547</v>
      </c>
      <c r="J119" s="169">
        <f t="shared" si="40"/>
        <v>3547.1791913157567</v>
      </c>
      <c r="K119" s="170">
        <f t="shared" si="34"/>
        <v>4543.317330328844</v>
      </c>
      <c r="L119" s="171">
        <f t="shared" ref="L119:L127" si="42">+J119-K119</f>
        <v>-996.13813901308731</v>
      </c>
      <c r="M119" s="172">
        <f t="shared" si="28"/>
        <v>-80.021196886803509</v>
      </c>
      <c r="N119" s="173">
        <f t="shared" si="29"/>
        <v>-1076.1593358998907</v>
      </c>
      <c r="O119" s="172">
        <f t="shared" si="30"/>
        <v>0</v>
      </c>
      <c r="P119" s="172">
        <f t="shared" si="31"/>
        <v>0</v>
      </c>
      <c r="Q119" s="172">
        <v>0</v>
      </c>
      <c r="R119" s="173">
        <f t="shared" si="32"/>
        <v>-1076.1593358998907</v>
      </c>
    </row>
    <row r="120" spans="1:18" x14ac:dyDescent="0.25">
      <c r="A120" s="130">
        <v>5</v>
      </c>
      <c r="B120" s="165">
        <f t="shared" si="39"/>
        <v>45413</v>
      </c>
      <c r="C120" s="185">
        <f t="shared" si="41"/>
        <v>45448</v>
      </c>
      <c r="D120" s="185">
        <f t="shared" si="41"/>
        <v>45467</v>
      </c>
      <c r="E120" s="52" t="s">
        <v>13</v>
      </c>
      <c r="F120" s="130">
        <v>9</v>
      </c>
      <c r="G120" s="167">
        <v>747</v>
      </c>
      <c r="H120" s="168">
        <f t="shared" si="27"/>
        <v>8.3058817739101354</v>
      </c>
      <c r="I120" s="168">
        <f t="shared" si="38"/>
        <v>6.4847882839410547</v>
      </c>
      <c r="J120" s="169">
        <f t="shared" si="40"/>
        <v>4844.1368481039681</v>
      </c>
      <c r="K120" s="170">
        <f t="shared" si="34"/>
        <v>6204.4936851108714</v>
      </c>
      <c r="L120" s="171">
        <f t="shared" si="42"/>
        <v>-1360.3568370069033</v>
      </c>
      <c r="M120" s="172">
        <f t="shared" si="28"/>
        <v>-109.27940415802966</v>
      </c>
      <c r="N120" s="173">
        <f t="shared" si="29"/>
        <v>-1469.6362411649329</v>
      </c>
      <c r="O120" s="172">
        <f t="shared" si="30"/>
        <v>0</v>
      </c>
      <c r="P120" s="172">
        <f t="shared" si="31"/>
        <v>0</v>
      </c>
      <c r="Q120" s="172">
        <v>0</v>
      </c>
      <c r="R120" s="173">
        <f t="shared" si="32"/>
        <v>-1469.6362411649329</v>
      </c>
    </row>
    <row r="121" spans="1:18" x14ac:dyDescent="0.25">
      <c r="A121" s="130">
        <v>6</v>
      </c>
      <c r="B121" s="165">
        <f t="shared" si="39"/>
        <v>45444</v>
      </c>
      <c r="C121" s="185">
        <f t="shared" si="41"/>
        <v>45476</v>
      </c>
      <c r="D121" s="185">
        <f t="shared" si="41"/>
        <v>45497</v>
      </c>
      <c r="E121" s="52" t="s">
        <v>13</v>
      </c>
      <c r="F121" s="130">
        <v>9</v>
      </c>
      <c r="G121" s="167">
        <v>917</v>
      </c>
      <c r="H121" s="168">
        <f t="shared" si="27"/>
        <v>8.3058817739101354</v>
      </c>
      <c r="I121" s="168">
        <f t="shared" si="38"/>
        <v>6.4847882839410547</v>
      </c>
      <c r="J121" s="169">
        <f t="shared" si="40"/>
        <v>5946.5508563739468</v>
      </c>
      <c r="K121" s="170">
        <f t="shared" si="34"/>
        <v>7616.4935866755941</v>
      </c>
      <c r="L121" s="175">
        <f t="shared" si="42"/>
        <v>-1669.9427303016473</v>
      </c>
      <c r="M121" s="172">
        <f t="shared" si="28"/>
        <v>-134.14888033857187</v>
      </c>
      <c r="N121" s="173">
        <f t="shared" si="29"/>
        <v>-1804.0916106402192</v>
      </c>
      <c r="O121" s="172">
        <f t="shared" si="30"/>
        <v>0</v>
      </c>
      <c r="P121" s="172">
        <f t="shared" si="31"/>
        <v>0</v>
      </c>
      <c r="Q121" s="172">
        <v>0</v>
      </c>
      <c r="R121" s="173">
        <f t="shared" si="32"/>
        <v>-1804.0916106402192</v>
      </c>
    </row>
    <row r="122" spans="1:18" x14ac:dyDescent="0.25">
      <c r="A122" s="94">
        <v>7</v>
      </c>
      <c r="B122" s="165">
        <f t="shared" si="39"/>
        <v>45474</v>
      </c>
      <c r="C122" s="185">
        <f t="shared" si="41"/>
        <v>45509</v>
      </c>
      <c r="D122" s="185">
        <f t="shared" si="41"/>
        <v>45530</v>
      </c>
      <c r="E122" s="52" t="s">
        <v>13</v>
      </c>
      <c r="F122" s="130">
        <v>9</v>
      </c>
      <c r="G122" s="167">
        <v>950</v>
      </c>
      <c r="H122" s="168">
        <f t="shared" si="27"/>
        <v>8.3058817739101354</v>
      </c>
      <c r="I122" s="168">
        <f t="shared" si="38"/>
        <v>6.4847882839410547</v>
      </c>
      <c r="J122" s="169">
        <f t="shared" si="40"/>
        <v>6160.5488697440023</v>
      </c>
      <c r="K122" s="176">
        <f t="shared" si="34"/>
        <v>7890.5876852146284</v>
      </c>
      <c r="L122" s="175">
        <f t="shared" si="42"/>
        <v>-1730.0388154706261</v>
      </c>
      <c r="M122" s="172">
        <f t="shared" si="28"/>
        <v>-138.9764845383242</v>
      </c>
      <c r="N122" s="173">
        <f t="shared" si="29"/>
        <v>-1869.0153000089504</v>
      </c>
      <c r="O122" s="172">
        <f t="shared" si="30"/>
        <v>0</v>
      </c>
      <c r="P122" s="172">
        <f t="shared" si="31"/>
        <v>0</v>
      </c>
      <c r="Q122" s="172">
        <v>0</v>
      </c>
      <c r="R122" s="173">
        <f t="shared" si="32"/>
        <v>-1869.0153000089504</v>
      </c>
    </row>
    <row r="123" spans="1:18" x14ac:dyDescent="0.25">
      <c r="A123" s="130">
        <v>8</v>
      </c>
      <c r="B123" s="165">
        <f t="shared" si="39"/>
        <v>45505</v>
      </c>
      <c r="C123" s="185">
        <f t="shared" si="41"/>
        <v>45539</v>
      </c>
      <c r="D123" s="185">
        <f t="shared" si="41"/>
        <v>45559</v>
      </c>
      <c r="E123" s="52" t="s">
        <v>13</v>
      </c>
      <c r="F123" s="130">
        <v>9</v>
      </c>
      <c r="G123" s="167">
        <v>940</v>
      </c>
      <c r="H123" s="168">
        <f t="shared" si="27"/>
        <v>8.3058817739101354</v>
      </c>
      <c r="I123" s="168">
        <f t="shared" si="38"/>
        <v>6.4847882839410547</v>
      </c>
      <c r="J123" s="169">
        <f t="shared" si="40"/>
        <v>6095.7009869045914</v>
      </c>
      <c r="K123" s="176">
        <f t="shared" si="34"/>
        <v>7807.5288674755275</v>
      </c>
      <c r="L123" s="175">
        <f t="shared" si="42"/>
        <v>-1711.827880570936</v>
      </c>
      <c r="M123" s="172">
        <f t="shared" si="28"/>
        <v>-137.51357417476288</v>
      </c>
      <c r="N123" s="173">
        <f t="shared" si="29"/>
        <v>-1849.3414547456989</v>
      </c>
      <c r="O123" s="172">
        <f t="shared" si="30"/>
        <v>0</v>
      </c>
      <c r="P123" s="172">
        <f t="shared" si="31"/>
        <v>0</v>
      </c>
      <c r="Q123" s="172">
        <v>0</v>
      </c>
      <c r="R123" s="173">
        <f t="shared" si="32"/>
        <v>-1849.3414547456989</v>
      </c>
    </row>
    <row r="124" spans="1:18" x14ac:dyDescent="0.25">
      <c r="A124" s="130">
        <v>9</v>
      </c>
      <c r="B124" s="165">
        <f t="shared" si="39"/>
        <v>45536</v>
      </c>
      <c r="C124" s="185">
        <f t="shared" si="41"/>
        <v>45568</v>
      </c>
      <c r="D124" s="185">
        <f t="shared" si="41"/>
        <v>45589</v>
      </c>
      <c r="E124" s="52" t="s">
        <v>13</v>
      </c>
      <c r="F124" s="130">
        <v>9</v>
      </c>
      <c r="G124" s="167">
        <v>816</v>
      </c>
      <c r="H124" s="168">
        <f t="shared" si="27"/>
        <v>8.3058817739101354</v>
      </c>
      <c r="I124" s="168">
        <f t="shared" si="38"/>
        <v>6.4847882839410547</v>
      </c>
      <c r="J124" s="169">
        <f t="shared" si="40"/>
        <v>5291.5872396959003</v>
      </c>
      <c r="K124" s="176">
        <f t="shared" si="34"/>
        <v>6777.5995275106707</v>
      </c>
      <c r="L124" s="175">
        <f t="shared" si="42"/>
        <v>-1486.0122878147704</v>
      </c>
      <c r="M124" s="172">
        <f t="shared" si="28"/>
        <v>-119.37348566660266</v>
      </c>
      <c r="N124" s="173">
        <f t="shared" si="29"/>
        <v>-1605.385773481373</v>
      </c>
      <c r="O124" s="172">
        <f t="shared" si="30"/>
        <v>0</v>
      </c>
      <c r="P124" s="172">
        <f t="shared" si="31"/>
        <v>0</v>
      </c>
      <c r="Q124" s="172">
        <v>0</v>
      </c>
      <c r="R124" s="173">
        <f t="shared" si="32"/>
        <v>-1605.385773481373</v>
      </c>
    </row>
    <row r="125" spans="1:18" x14ac:dyDescent="0.25">
      <c r="A125" s="94">
        <v>10</v>
      </c>
      <c r="B125" s="165">
        <f t="shared" si="39"/>
        <v>45566</v>
      </c>
      <c r="C125" s="185">
        <f t="shared" si="41"/>
        <v>45601</v>
      </c>
      <c r="D125" s="185">
        <f t="shared" si="41"/>
        <v>45621</v>
      </c>
      <c r="E125" s="52" t="s">
        <v>13</v>
      </c>
      <c r="F125" s="130">
        <v>9</v>
      </c>
      <c r="G125" s="167">
        <v>683</v>
      </c>
      <c r="H125" s="168">
        <f t="shared" si="27"/>
        <v>8.3058817739101354</v>
      </c>
      <c r="I125" s="168">
        <f t="shared" si="38"/>
        <v>6.4847882839410547</v>
      </c>
      <c r="J125" s="169">
        <f t="shared" si="40"/>
        <v>4429.1103979317404</v>
      </c>
      <c r="K125" s="176">
        <f t="shared" si="34"/>
        <v>5672.9172515806222</v>
      </c>
      <c r="L125" s="175">
        <f t="shared" si="42"/>
        <v>-1243.8068536488818</v>
      </c>
      <c r="M125" s="172">
        <f t="shared" si="28"/>
        <v>-99.916777831237297</v>
      </c>
      <c r="N125" s="173">
        <f t="shared" si="29"/>
        <v>-1343.7236314801191</v>
      </c>
      <c r="O125" s="172">
        <f t="shared" si="30"/>
        <v>0</v>
      </c>
      <c r="P125" s="172">
        <f t="shared" si="31"/>
        <v>0</v>
      </c>
      <c r="Q125" s="172">
        <v>0</v>
      </c>
      <c r="R125" s="173">
        <f t="shared" si="32"/>
        <v>-1343.7236314801191</v>
      </c>
    </row>
    <row r="126" spans="1:18" x14ac:dyDescent="0.25">
      <c r="A126" s="130">
        <v>11</v>
      </c>
      <c r="B126" s="165">
        <f t="shared" si="39"/>
        <v>45597</v>
      </c>
      <c r="C126" s="185">
        <f t="shared" si="41"/>
        <v>45630</v>
      </c>
      <c r="D126" s="185">
        <f t="shared" si="41"/>
        <v>45650</v>
      </c>
      <c r="E126" s="52" t="s">
        <v>13</v>
      </c>
      <c r="F126" s="130">
        <v>9</v>
      </c>
      <c r="G126" s="167">
        <v>525</v>
      </c>
      <c r="H126" s="168">
        <f t="shared" si="27"/>
        <v>8.3058817739101354</v>
      </c>
      <c r="I126" s="168">
        <f t="shared" si="38"/>
        <v>6.4847882839410547</v>
      </c>
      <c r="J126" s="169">
        <f t="shared" si="40"/>
        <v>3404.5138490690538</v>
      </c>
      <c r="K126" s="176">
        <f t="shared" si="34"/>
        <v>4360.5879313028208</v>
      </c>
      <c r="L126" s="175">
        <f t="shared" si="42"/>
        <v>-956.07408223376706</v>
      </c>
      <c r="M126" s="172">
        <f t="shared" si="28"/>
        <v>-76.802794086968632</v>
      </c>
      <c r="N126" s="173">
        <f t="shared" si="29"/>
        <v>-1032.8768763207356</v>
      </c>
      <c r="O126" s="172">
        <f t="shared" si="30"/>
        <v>0</v>
      </c>
      <c r="P126" s="172">
        <f t="shared" si="31"/>
        <v>0</v>
      </c>
      <c r="Q126" s="172">
        <v>0</v>
      </c>
      <c r="R126" s="173">
        <f t="shared" si="32"/>
        <v>-1032.8768763207356</v>
      </c>
    </row>
    <row r="127" spans="1:18" s="189" customFormat="1" x14ac:dyDescent="0.25">
      <c r="A127" s="130">
        <v>12</v>
      </c>
      <c r="B127" s="187">
        <f t="shared" si="39"/>
        <v>45627</v>
      </c>
      <c r="C127" s="190">
        <f t="shared" si="41"/>
        <v>45660</v>
      </c>
      <c r="D127" s="190">
        <f t="shared" si="41"/>
        <v>45681</v>
      </c>
      <c r="E127" s="188" t="s">
        <v>13</v>
      </c>
      <c r="F127" s="141">
        <v>9</v>
      </c>
      <c r="G127" s="167">
        <v>863</v>
      </c>
      <c r="H127" s="177">
        <f t="shared" si="27"/>
        <v>8.3058817739101354</v>
      </c>
      <c r="I127" s="177">
        <f t="shared" si="38"/>
        <v>6.4847882839410547</v>
      </c>
      <c r="J127" s="178">
        <f t="shared" si="40"/>
        <v>5596.37228904113</v>
      </c>
      <c r="K127" s="179">
        <f t="shared" si="34"/>
        <v>7167.9759708844467</v>
      </c>
      <c r="L127" s="180">
        <f t="shared" si="42"/>
        <v>-1571.6036818433167</v>
      </c>
      <c r="M127" s="172">
        <f t="shared" si="28"/>
        <v>-126.24916437534081</v>
      </c>
      <c r="N127" s="173">
        <f t="shared" si="29"/>
        <v>-1697.8528462186575</v>
      </c>
      <c r="O127" s="172">
        <f t="shared" si="30"/>
        <v>0</v>
      </c>
      <c r="P127" s="172">
        <f t="shared" si="31"/>
        <v>0</v>
      </c>
      <c r="Q127" s="172">
        <v>0</v>
      </c>
      <c r="R127" s="173">
        <f t="shared" si="32"/>
        <v>-1697.8528462186575</v>
      </c>
    </row>
    <row r="128" spans="1:18" x14ac:dyDescent="0.25">
      <c r="A128" s="94">
        <v>1</v>
      </c>
      <c r="B128" s="165">
        <f t="shared" si="39"/>
        <v>45292</v>
      </c>
      <c r="C128" s="185">
        <f t="shared" si="41"/>
        <v>45327</v>
      </c>
      <c r="D128" s="185">
        <f t="shared" si="41"/>
        <v>45348</v>
      </c>
      <c r="E128" s="166" t="s">
        <v>15</v>
      </c>
      <c r="F128" s="94">
        <v>9</v>
      </c>
      <c r="G128" s="167">
        <v>8</v>
      </c>
      <c r="H128" s="168">
        <f t="shared" si="27"/>
        <v>8.3058817739101354</v>
      </c>
      <c r="I128" s="168">
        <f t="shared" ref="I128:I147" si="43">$J$3</f>
        <v>6.4847882839410547</v>
      </c>
      <c r="J128" s="169">
        <f t="shared" si="40"/>
        <v>51.878306271528437</v>
      </c>
      <c r="K128" s="170">
        <f t="shared" si="34"/>
        <v>66.447054191281083</v>
      </c>
      <c r="L128" s="171">
        <f>+J128-K128</f>
        <v>-14.568747919752646</v>
      </c>
      <c r="M128" s="172">
        <f t="shared" si="28"/>
        <v>-1.1703282908490458</v>
      </c>
      <c r="N128" s="173">
        <f t="shared" si="29"/>
        <v>-15.739076210601691</v>
      </c>
      <c r="O128" s="172">
        <f t="shared" si="30"/>
        <v>0</v>
      </c>
      <c r="P128" s="172">
        <f t="shared" si="31"/>
        <v>0</v>
      </c>
      <c r="Q128" s="172">
        <v>0</v>
      </c>
      <c r="R128" s="173">
        <f t="shared" si="32"/>
        <v>-15.739076210601691</v>
      </c>
    </row>
    <row r="129" spans="1:18" x14ac:dyDescent="0.25">
      <c r="A129" s="130">
        <v>2</v>
      </c>
      <c r="B129" s="165">
        <f t="shared" si="39"/>
        <v>45323</v>
      </c>
      <c r="C129" s="185">
        <f t="shared" si="41"/>
        <v>45356</v>
      </c>
      <c r="D129" s="185">
        <f t="shared" si="41"/>
        <v>45376</v>
      </c>
      <c r="E129" s="174" t="s">
        <v>15</v>
      </c>
      <c r="F129" s="130">
        <v>9</v>
      </c>
      <c r="G129" s="167">
        <v>5</v>
      </c>
      <c r="H129" s="168">
        <f t="shared" si="27"/>
        <v>8.3058817739101354</v>
      </c>
      <c r="I129" s="168">
        <f t="shared" si="43"/>
        <v>6.4847882839410547</v>
      </c>
      <c r="J129" s="169">
        <f t="shared" si="40"/>
        <v>32.423941419705272</v>
      </c>
      <c r="K129" s="170">
        <f t="shared" si="34"/>
        <v>41.529408869550679</v>
      </c>
      <c r="L129" s="171">
        <f>+J129-K129</f>
        <v>-9.1054674498454062</v>
      </c>
      <c r="M129" s="172">
        <f t="shared" si="28"/>
        <v>-0.73145518178065372</v>
      </c>
      <c r="N129" s="173">
        <f t="shared" si="29"/>
        <v>-9.8369226316260594</v>
      </c>
      <c r="O129" s="172">
        <f t="shared" si="30"/>
        <v>0</v>
      </c>
      <c r="P129" s="172">
        <f t="shared" si="31"/>
        <v>0</v>
      </c>
      <c r="Q129" s="172">
        <v>0</v>
      </c>
      <c r="R129" s="173">
        <f t="shared" si="32"/>
        <v>-9.8369226316260594</v>
      </c>
    </row>
    <row r="130" spans="1:18" x14ac:dyDescent="0.25">
      <c r="A130" s="130">
        <v>3</v>
      </c>
      <c r="B130" s="165">
        <f t="shared" si="39"/>
        <v>45352</v>
      </c>
      <c r="C130" s="185">
        <f t="shared" si="41"/>
        <v>45385</v>
      </c>
      <c r="D130" s="185">
        <f t="shared" si="41"/>
        <v>45406</v>
      </c>
      <c r="E130" s="174" t="s">
        <v>15</v>
      </c>
      <c r="F130" s="130">
        <v>9</v>
      </c>
      <c r="G130" s="167">
        <v>5</v>
      </c>
      <c r="H130" s="168">
        <f t="shared" si="27"/>
        <v>8.3058817739101354</v>
      </c>
      <c r="I130" s="168">
        <f t="shared" si="43"/>
        <v>6.4847882839410547</v>
      </c>
      <c r="J130" s="169">
        <f t="shared" si="40"/>
        <v>32.423941419705272</v>
      </c>
      <c r="K130" s="170">
        <f t="shared" si="34"/>
        <v>41.529408869550679</v>
      </c>
      <c r="L130" s="171">
        <f>+J130-K130</f>
        <v>-9.1054674498454062</v>
      </c>
      <c r="M130" s="172">
        <f t="shared" si="28"/>
        <v>-0.73145518178065372</v>
      </c>
      <c r="N130" s="173">
        <f t="shared" si="29"/>
        <v>-9.8369226316260594</v>
      </c>
      <c r="O130" s="172">
        <f t="shared" si="30"/>
        <v>0</v>
      </c>
      <c r="P130" s="172">
        <f t="shared" si="31"/>
        <v>0</v>
      </c>
      <c r="Q130" s="172">
        <v>0</v>
      </c>
      <c r="R130" s="173">
        <f t="shared" si="32"/>
        <v>-9.8369226316260594</v>
      </c>
    </row>
    <row r="131" spans="1:18" x14ac:dyDescent="0.25">
      <c r="A131" s="94">
        <v>4</v>
      </c>
      <c r="B131" s="165">
        <f t="shared" si="39"/>
        <v>45383</v>
      </c>
      <c r="C131" s="185">
        <f t="shared" si="41"/>
        <v>45415</v>
      </c>
      <c r="D131" s="185">
        <f t="shared" si="41"/>
        <v>45436</v>
      </c>
      <c r="E131" s="174" t="s">
        <v>15</v>
      </c>
      <c r="F131" s="130">
        <v>9</v>
      </c>
      <c r="G131" s="167">
        <v>6</v>
      </c>
      <c r="H131" s="168">
        <f t="shared" si="27"/>
        <v>8.3058817739101354</v>
      </c>
      <c r="I131" s="168">
        <f t="shared" si="43"/>
        <v>6.4847882839410547</v>
      </c>
      <c r="J131" s="169">
        <f t="shared" si="40"/>
        <v>38.90872970364633</v>
      </c>
      <c r="K131" s="170">
        <f t="shared" si="34"/>
        <v>49.835290643460809</v>
      </c>
      <c r="L131" s="171">
        <f t="shared" ref="L131:L141" si="44">+J131-K131</f>
        <v>-10.926560939814479</v>
      </c>
      <c r="M131" s="172">
        <f t="shared" si="28"/>
        <v>-0.87774621813678433</v>
      </c>
      <c r="N131" s="173">
        <f t="shared" si="29"/>
        <v>-11.804307157951264</v>
      </c>
      <c r="O131" s="172">
        <f t="shared" si="30"/>
        <v>0</v>
      </c>
      <c r="P131" s="172">
        <f t="shared" si="31"/>
        <v>0</v>
      </c>
      <c r="Q131" s="172">
        <v>0</v>
      </c>
      <c r="R131" s="173">
        <f t="shared" si="32"/>
        <v>-11.804307157951264</v>
      </c>
    </row>
    <row r="132" spans="1:18" x14ac:dyDescent="0.25">
      <c r="A132" s="130">
        <v>5</v>
      </c>
      <c r="B132" s="165">
        <f t="shared" si="39"/>
        <v>45413</v>
      </c>
      <c r="C132" s="185">
        <f t="shared" si="41"/>
        <v>45448</v>
      </c>
      <c r="D132" s="185">
        <f t="shared" si="41"/>
        <v>45467</v>
      </c>
      <c r="E132" s="52" t="s">
        <v>15</v>
      </c>
      <c r="F132" s="130">
        <v>9</v>
      </c>
      <c r="G132" s="167">
        <v>9</v>
      </c>
      <c r="H132" s="168">
        <f t="shared" si="27"/>
        <v>8.3058817739101354</v>
      </c>
      <c r="I132" s="168">
        <f t="shared" si="43"/>
        <v>6.4847882839410547</v>
      </c>
      <c r="J132" s="169">
        <f t="shared" si="40"/>
        <v>58.363094555469495</v>
      </c>
      <c r="K132" s="170">
        <f t="shared" si="34"/>
        <v>74.752935965191213</v>
      </c>
      <c r="L132" s="171">
        <f t="shared" si="44"/>
        <v>-16.389841409721718</v>
      </c>
      <c r="M132" s="172">
        <f t="shared" si="28"/>
        <v>-1.3166193272051767</v>
      </c>
      <c r="N132" s="173">
        <f t="shared" si="29"/>
        <v>-17.706460736926896</v>
      </c>
      <c r="O132" s="172">
        <f t="shared" si="30"/>
        <v>0</v>
      </c>
      <c r="P132" s="172">
        <f t="shared" si="31"/>
        <v>0</v>
      </c>
      <c r="Q132" s="172">
        <v>0</v>
      </c>
      <c r="R132" s="173">
        <f t="shared" si="32"/>
        <v>-17.706460736926896</v>
      </c>
    </row>
    <row r="133" spans="1:18" x14ac:dyDescent="0.25">
      <c r="A133" s="130">
        <v>6</v>
      </c>
      <c r="B133" s="165">
        <f t="shared" si="39"/>
        <v>45444</v>
      </c>
      <c r="C133" s="185">
        <f t="shared" si="41"/>
        <v>45476</v>
      </c>
      <c r="D133" s="185">
        <f t="shared" si="41"/>
        <v>45497</v>
      </c>
      <c r="E133" s="52" t="s">
        <v>15</v>
      </c>
      <c r="F133" s="130">
        <v>9</v>
      </c>
      <c r="G133" s="167">
        <v>14</v>
      </c>
      <c r="H133" s="168">
        <f t="shared" si="27"/>
        <v>8.3058817739101354</v>
      </c>
      <c r="I133" s="168">
        <f t="shared" si="43"/>
        <v>6.4847882839410547</v>
      </c>
      <c r="J133" s="169">
        <f t="shared" si="40"/>
        <v>90.78703597517476</v>
      </c>
      <c r="K133" s="170">
        <f t="shared" si="34"/>
        <v>116.28234483474189</v>
      </c>
      <c r="L133" s="175">
        <f t="shared" si="44"/>
        <v>-25.495308859567132</v>
      </c>
      <c r="M133" s="172">
        <f t="shared" si="28"/>
        <v>-2.0480745089858301</v>
      </c>
      <c r="N133" s="173">
        <f t="shared" si="29"/>
        <v>-27.543383368552963</v>
      </c>
      <c r="O133" s="172">
        <f t="shared" si="30"/>
        <v>0</v>
      </c>
      <c r="P133" s="172">
        <f t="shared" si="31"/>
        <v>0</v>
      </c>
      <c r="Q133" s="172">
        <v>0</v>
      </c>
      <c r="R133" s="173">
        <f t="shared" si="32"/>
        <v>-27.543383368552963</v>
      </c>
    </row>
    <row r="134" spans="1:18" x14ac:dyDescent="0.25">
      <c r="A134" s="94">
        <v>7</v>
      </c>
      <c r="B134" s="165">
        <f t="shared" si="39"/>
        <v>45474</v>
      </c>
      <c r="C134" s="185">
        <f t="shared" si="41"/>
        <v>45509</v>
      </c>
      <c r="D134" s="185">
        <f t="shared" si="41"/>
        <v>45530</v>
      </c>
      <c r="E134" s="52" t="s">
        <v>15</v>
      </c>
      <c r="F134" s="130">
        <v>9</v>
      </c>
      <c r="G134" s="167">
        <v>17</v>
      </c>
      <c r="H134" s="168">
        <f t="shared" si="27"/>
        <v>8.3058817739101354</v>
      </c>
      <c r="I134" s="168">
        <f t="shared" si="43"/>
        <v>6.4847882839410547</v>
      </c>
      <c r="J134" s="169">
        <f t="shared" si="40"/>
        <v>110.24140082699793</v>
      </c>
      <c r="K134" s="176">
        <f t="shared" ref="K134:K197" si="45">+$G134*H134</f>
        <v>141.1999901564723</v>
      </c>
      <c r="L134" s="175">
        <f t="shared" si="44"/>
        <v>-30.958589329474364</v>
      </c>
      <c r="M134" s="172">
        <f t="shared" si="28"/>
        <v>-2.4869476180542227</v>
      </c>
      <c r="N134" s="173">
        <f t="shared" si="29"/>
        <v>-33.445536947528588</v>
      </c>
      <c r="O134" s="172">
        <f t="shared" si="30"/>
        <v>0</v>
      </c>
      <c r="P134" s="172">
        <f t="shared" si="31"/>
        <v>0</v>
      </c>
      <c r="Q134" s="172">
        <v>0</v>
      </c>
      <c r="R134" s="173">
        <f t="shared" si="32"/>
        <v>-33.445536947528588</v>
      </c>
    </row>
    <row r="135" spans="1:18" x14ac:dyDescent="0.25">
      <c r="A135" s="130">
        <v>8</v>
      </c>
      <c r="B135" s="165">
        <f t="shared" si="39"/>
        <v>45505</v>
      </c>
      <c r="C135" s="185">
        <f t="shared" si="41"/>
        <v>45539</v>
      </c>
      <c r="D135" s="185">
        <f t="shared" si="41"/>
        <v>45559</v>
      </c>
      <c r="E135" s="52" t="s">
        <v>15</v>
      </c>
      <c r="F135" s="130">
        <v>9</v>
      </c>
      <c r="G135" s="167">
        <v>19</v>
      </c>
      <c r="H135" s="168">
        <f t="shared" si="27"/>
        <v>8.3058817739101354</v>
      </c>
      <c r="I135" s="168">
        <f t="shared" si="43"/>
        <v>6.4847882839410547</v>
      </c>
      <c r="J135" s="169">
        <f t="shared" si="40"/>
        <v>123.21097739488003</v>
      </c>
      <c r="K135" s="176">
        <f t="shared" si="45"/>
        <v>157.81175370429258</v>
      </c>
      <c r="L135" s="175">
        <f t="shared" si="44"/>
        <v>-34.600776309412552</v>
      </c>
      <c r="M135" s="172">
        <f t="shared" si="28"/>
        <v>-2.7795296907664842</v>
      </c>
      <c r="N135" s="173">
        <f t="shared" si="29"/>
        <v>-37.380306000179033</v>
      </c>
      <c r="O135" s="172">
        <f t="shared" si="30"/>
        <v>0</v>
      </c>
      <c r="P135" s="172">
        <f t="shared" si="31"/>
        <v>0</v>
      </c>
      <c r="Q135" s="172">
        <v>0</v>
      </c>
      <c r="R135" s="173">
        <f t="shared" si="32"/>
        <v>-37.380306000179033</v>
      </c>
    </row>
    <row r="136" spans="1:18" x14ac:dyDescent="0.25">
      <c r="A136" s="130">
        <v>9</v>
      </c>
      <c r="B136" s="165">
        <f t="shared" si="39"/>
        <v>45536</v>
      </c>
      <c r="C136" s="185">
        <f t="shared" si="41"/>
        <v>45568</v>
      </c>
      <c r="D136" s="185">
        <f t="shared" si="41"/>
        <v>45589</v>
      </c>
      <c r="E136" s="52" t="s">
        <v>15</v>
      </c>
      <c r="F136" s="130">
        <v>9</v>
      </c>
      <c r="G136" s="167">
        <v>11</v>
      </c>
      <c r="H136" s="168">
        <f t="shared" si="27"/>
        <v>8.3058817739101354</v>
      </c>
      <c r="I136" s="168">
        <f t="shared" si="43"/>
        <v>6.4847882839410547</v>
      </c>
      <c r="J136" s="169">
        <f t="shared" si="40"/>
        <v>71.332671123351602</v>
      </c>
      <c r="K136" s="176">
        <f t="shared" si="45"/>
        <v>91.364699513011487</v>
      </c>
      <c r="L136" s="175">
        <f t="shared" si="44"/>
        <v>-20.032028389659885</v>
      </c>
      <c r="M136" s="172">
        <f t="shared" si="28"/>
        <v>-1.6092013999174379</v>
      </c>
      <c r="N136" s="173">
        <f t="shared" si="29"/>
        <v>-21.641229789577324</v>
      </c>
      <c r="O136" s="172">
        <f t="shared" si="30"/>
        <v>0</v>
      </c>
      <c r="P136" s="172">
        <f t="shared" si="31"/>
        <v>0</v>
      </c>
      <c r="Q136" s="172">
        <v>0</v>
      </c>
      <c r="R136" s="173">
        <f t="shared" si="32"/>
        <v>-21.641229789577324</v>
      </c>
    </row>
    <row r="137" spans="1:18" x14ac:dyDescent="0.25">
      <c r="A137" s="94">
        <v>10</v>
      </c>
      <c r="B137" s="165">
        <f t="shared" si="39"/>
        <v>45566</v>
      </c>
      <c r="C137" s="185">
        <f t="shared" si="41"/>
        <v>45601</v>
      </c>
      <c r="D137" s="185">
        <f t="shared" si="41"/>
        <v>45621</v>
      </c>
      <c r="E137" s="52" t="s">
        <v>15</v>
      </c>
      <c r="F137" s="130">
        <v>9</v>
      </c>
      <c r="G137" s="167">
        <v>6</v>
      </c>
      <c r="H137" s="168">
        <f t="shared" si="27"/>
        <v>8.3058817739101354</v>
      </c>
      <c r="I137" s="168">
        <f t="shared" si="43"/>
        <v>6.4847882839410547</v>
      </c>
      <c r="J137" s="169">
        <f t="shared" si="40"/>
        <v>38.90872970364633</v>
      </c>
      <c r="K137" s="176">
        <f t="shared" si="45"/>
        <v>49.835290643460809</v>
      </c>
      <c r="L137" s="175">
        <f t="shared" si="44"/>
        <v>-10.926560939814479</v>
      </c>
      <c r="M137" s="172">
        <f t="shared" si="28"/>
        <v>-0.87774621813678433</v>
      </c>
      <c r="N137" s="173">
        <f t="shared" si="29"/>
        <v>-11.804307157951264</v>
      </c>
      <c r="O137" s="172">
        <f t="shared" si="30"/>
        <v>0</v>
      </c>
      <c r="P137" s="172">
        <f t="shared" si="31"/>
        <v>0</v>
      </c>
      <c r="Q137" s="172">
        <v>0</v>
      </c>
      <c r="R137" s="173">
        <f t="shared" si="32"/>
        <v>-11.804307157951264</v>
      </c>
    </row>
    <row r="138" spans="1:18" x14ac:dyDescent="0.25">
      <c r="A138" s="130">
        <v>11</v>
      </c>
      <c r="B138" s="165">
        <f t="shared" si="39"/>
        <v>45597</v>
      </c>
      <c r="C138" s="185">
        <f t="shared" si="41"/>
        <v>45630</v>
      </c>
      <c r="D138" s="185">
        <f t="shared" si="41"/>
        <v>45650</v>
      </c>
      <c r="E138" s="52" t="s">
        <v>15</v>
      </c>
      <c r="F138" s="130">
        <v>9</v>
      </c>
      <c r="G138" s="167">
        <v>6</v>
      </c>
      <c r="H138" s="168">
        <f t="shared" si="27"/>
        <v>8.3058817739101354</v>
      </c>
      <c r="I138" s="168">
        <f t="shared" si="43"/>
        <v>6.4847882839410547</v>
      </c>
      <c r="J138" s="169">
        <f t="shared" si="40"/>
        <v>38.90872970364633</v>
      </c>
      <c r="K138" s="176">
        <f t="shared" si="45"/>
        <v>49.835290643460809</v>
      </c>
      <c r="L138" s="175">
        <f t="shared" si="44"/>
        <v>-10.926560939814479</v>
      </c>
      <c r="M138" s="172">
        <f t="shared" si="28"/>
        <v>-0.87774621813678433</v>
      </c>
      <c r="N138" s="173">
        <f t="shared" si="29"/>
        <v>-11.804307157951264</v>
      </c>
      <c r="O138" s="172">
        <f t="shared" si="30"/>
        <v>0</v>
      </c>
      <c r="P138" s="172">
        <f t="shared" si="31"/>
        <v>0</v>
      </c>
      <c r="Q138" s="172">
        <v>0</v>
      </c>
      <c r="R138" s="173">
        <f t="shared" si="32"/>
        <v>-11.804307157951264</v>
      </c>
    </row>
    <row r="139" spans="1:18" s="189" customFormat="1" x14ac:dyDescent="0.25">
      <c r="A139" s="130">
        <v>12</v>
      </c>
      <c r="B139" s="187">
        <f t="shared" si="39"/>
        <v>45627</v>
      </c>
      <c r="C139" s="185">
        <f t="shared" si="41"/>
        <v>45660</v>
      </c>
      <c r="D139" s="185">
        <f t="shared" si="41"/>
        <v>45681</v>
      </c>
      <c r="E139" s="188" t="s">
        <v>15</v>
      </c>
      <c r="F139" s="141">
        <v>9</v>
      </c>
      <c r="G139" s="167">
        <v>6</v>
      </c>
      <c r="H139" s="177">
        <f t="shared" si="27"/>
        <v>8.3058817739101354</v>
      </c>
      <c r="I139" s="177">
        <f t="shared" si="43"/>
        <v>6.4847882839410547</v>
      </c>
      <c r="J139" s="178">
        <f t="shared" si="40"/>
        <v>38.90872970364633</v>
      </c>
      <c r="K139" s="179">
        <f t="shared" si="45"/>
        <v>49.835290643460809</v>
      </c>
      <c r="L139" s="180">
        <f t="shared" si="44"/>
        <v>-10.926560939814479</v>
      </c>
      <c r="M139" s="172">
        <f t="shared" si="28"/>
        <v>-0.87774621813678433</v>
      </c>
      <c r="N139" s="173">
        <f t="shared" si="29"/>
        <v>-11.804307157951264</v>
      </c>
      <c r="O139" s="172">
        <f t="shared" si="30"/>
        <v>0</v>
      </c>
      <c r="P139" s="172">
        <f t="shared" si="31"/>
        <v>0</v>
      </c>
      <c r="Q139" s="172">
        <v>0</v>
      </c>
      <c r="R139" s="173">
        <f t="shared" si="32"/>
        <v>-11.804307157951264</v>
      </c>
    </row>
    <row r="140" spans="1:18" x14ac:dyDescent="0.25">
      <c r="A140" s="94">
        <v>1</v>
      </c>
      <c r="B140" s="165">
        <f t="shared" si="39"/>
        <v>45292</v>
      </c>
      <c r="C140" s="182">
        <f t="shared" ref="C140:D151" si="46">+C128</f>
        <v>45327</v>
      </c>
      <c r="D140" s="182">
        <f t="shared" si="46"/>
        <v>45348</v>
      </c>
      <c r="E140" s="192" t="s">
        <v>16</v>
      </c>
      <c r="F140" s="130">
        <v>9</v>
      </c>
      <c r="G140" s="167">
        <v>4</v>
      </c>
      <c r="H140" s="168">
        <f t="shared" si="27"/>
        <v>8.3058817739101354</v>
      </c>
      <c r="I140" s="168">
        <f t="shared" si="43"/>
        <v>6.4847882839410547</v>
      </c>
      <c r="J140" s="169">
        <f t="shared" si="40"/>
        <v>25.939153135764219</v>
      </c>
      <c r="K140" s="170">
        <f t="shared" si="45"/>
        <v>33.223527095640542</v>
      </c>
      <c r="L140" s="171">
        <f t="shared" si="44"/>
        <v>-7.2843739598763229</v>
      </c>
      <c r="M140" s="172">
        <f t="shared" si="28"/>
        <v>-0.58516414542452289</v>
      </c>
      <c r="N140" s="173">
        <f t="shared" si="29"/>
        <v>-7.8695381053008457</v>
      </c>
      <c r="O140" s="172">
        <f t="shared" si="30"/>
        <v>0</v>
      </c>
      <c r="P140" s="172">
        <f t="shared" si="31"/>
        <v>0</v>
      </c>
      <c r="Q140" s="172">
        <v>0</v>
      </c>
      <c r="R140" s="173">
        <f t="shared" si="32"/>
        <v>-7.8695381053008457</v>
      </c>
    </row>
    <row r="141" spans="1:18" x14ac:dyDescent="0.25">
      <c r="A141" s="130">
        <v>2</v>
      </c>
      <c r="B141" s="165">
        <f t="shared" si="39"/>
        <v>45323</v>
      </c>
      <c r="C141" s="185">
        <f t="shared" si="46"/>
        <v>45356</v>
      </c>
      <c r="D141" s="185">
        <f t="shared" si="46"/>
        <v>45376</v>
      </c>
      <c r="E141" s="52" t="s">
        <v>16</v>
      </c>
      <c r="F141" s="130">
        <v>9</v>
      </c>
      <c r="G141" s="167">
        <v>3</v>
      </c>
      <c r="H141" s="168">
        <f t="shared" si="27"/>
        <v>8.3058817739101354</v>
      </c>
      <c r="I141" s="168">
        <f t="shared" si="43"/>
        <v>6.4847882839410547</v>
      </c>
      <c r="J141" s="169">
        <f t="shared" si="40"/>
        <v>19.454364851823165</v>
      </c>
      <c r="K141" s="170">
        <f t="shared" si="45"/>
        <v>24.917645321730404</v>
      </c>
      <c r="L141" s="171">
        <f t="shared" si="44"/>
        <v>-5.4632804699072395</v>
      </c>
      <c r="M141" s="172">
        <f t="shared" si="28"/>
        <v>-0.43887310906839216</v>
      </c>
      <c r="N141" s="173">
        <f t="shared" si="29"/>
        <v>-5.9021535789756321</v>
      </c>
      <c r="O141" s="172">
        <f t="shared" si="30"/>
        <v>0</v>
      </c>
      <c r="P141" s="172">
        <f t="shared" si="31"/>
        <v>0</v>
      </c>
      <c r="Q141" s="172">
        <v>0</v>
      </c>
      <c r="R141" s="173">
        <f t="shared" si="32"/>
        <v>-5.9021535789756321</v>
      </c>
    </row>
    <row r="142" spans="1:18" x14ac:dyDescent="0.25">
      <c r="A142" s="130">
        <v>3</v>
      </c>
      <c r="B142" s="165">
        <f t="shared" si="39"/>
        <v>45352</v>
      </c>
      <c r="C142" s="185">
        <f t="shared" si="46"/>
        <v>45385</v>
      </c>
      <c r="D142" s="185">
        <f t="shared" si="46"/>
        <v>45406</v>
      </c>
      <c r="E142" s="52" t="s">
        <v>16</v>
      </c>
      <c r="F142" s="130">
        <v>9</v>
      </c>
      <c r="G142" s="167">
        <v>3</v>
      </c>
      <c r="H142" s="168">
        <f t="shared" si="27"/>
        <v>8.3058817739101354</v>
      </c>
      <c r="I142" s="168">
        <f t="shared" si="43"/>
        <v>6.4847882839410547</v>
      </c>
      <c r="J142" s="169">
        <f t="shared" si="40"/>
        <v>19.454364851823165</v>
      </c>
      <c r="K142" s="170">
        <f t="shared" si="45"/>
        <v>24.917645321730404</v>
      </c>
      <c r="L142" s="171">
        <f>+J142-K142</f>
        <v>-5.4632804699072395</v>
      </c>
      <c r="M142" s="172">
        <f t="shared" si="28"/>
        <v>-0.43887310906839216</v>
      </c>
      <c r="N142" s="173">
        <f t="shared" si="29"/>
        <v>-5.9021535789756321</v>
      </c>
      <c r="O142" s="172">
        <f t="shared" si="30"/>
        <v>0</v>
      </c>
      <c r="P142" s="172">
        <f t="shared" si="31"/>
        <v>0</v>
      </c>
      <c r="Q142" s="172">
        <v>0</v>
      </c>
      <c r="R142" s="173">
        <f t="shared" si="32"/>
        <v>-5.9021535789756321</v>
      </c>
    </row>
    <row r="143" spans="1:18" x14ac:dyDescent="0.25">
      <c r="A143" s="94">
        <v>4</v>
      </c>
      <c r="B143" s="165">
        <f t="shared" si="39"/>
        <v>45383</v>
      </c>
      <c r="C143" s="185">
        <f t="shared" si="46"/>
        <v>45415</v>
      </c>
      <c r="D143" s="185">
        <f t="shared" si="46"/>
        <v>45436</v>
      </c>
      <c r="E143" s="52" t="s">
        <v>16</v>
      </c>
      <c r="F143" s="130">
        <v>9</v>
      </c>
      <c r="G143" s="167">
        <v>2</v>
      </c>
      <c r="H143" s="168">
        <f t="shared" si="27"/>
        <v>8.3058817739101354</v>
      </c>
      <c r="I143" s="168">
        <f t="shared" si="43"/>
        <v>6.4847882839410547</v>
      </c>
      <c r="J143" s="169">
        <f t="shared" si="40"/>
        <v>12.969576567882109</v>
      </c>
      <c r="K143" s="170">
        <f t="shared" si="45"/>
        <v>16.611763547820271</v>
      </c>
      <c r="L143" s="171">
        <f t="shared" ref="L143:L153" si="47">+J143-K143</f>
        <v>-3.6421869799381614</v>
      </c>
      <c r="M143" s="172">
        <f t="shared" si="28"/>
        <v>-0.29258207271226144</v>
      </c>
      <c r="N143" s="173">
        <f t="shared" si="29"/>
        <v>-3.9347690526504229</v>
      </c>
      <c r="O143" s="172">
        <f t="shared" si="30"/>
        <v>0</v>
      </c>
      <c r="P143" s="172">
        <f t="shared" si="31"/>
        <v>0</v>
      </c>
      <c r="Q143" s="172">
        <v>0</v>
      </c>
      <c r="R143" s="173">
        <f t="shared" si="32"/>
        <v>-3.9347690526504229</v>
      </c>
    </row>
    <row r="144" spans="1:18" x14ac:dyDescent="0.25">
      <c r="A144" s="130">
        <v>5</v>
      </c>
      <c r="B144" s="165">
        <f t="shared" si="39"/>
        <v>45413</v>
      </c>
      <c r="C144" s="185">
        <f t="shared" si="46"/>
        <v>45448</v>
      </c>
      <c r="D144" s="185">
        <f t="shared" si="46"/>
        <v>45467</v>
      </c>
      <c r="E144" s="52" t="s">
        <v>16</v>
      </c>
      <c r="F144" s="130">
        <v>9</v>
      </c>
      <c r="G144" s="167">
        <v>4</v>
      </c>
      <c r="H144" s="168">
        <f t="shared" si="27"/>
        <v>8.3058817739101354</v>
      </c>
      <c r="I144" s="168">
        <f t="shared" si="43"/>
        <v>6.4847882839410547</v>
      </c>
      <c r="J144" s="169">
        <f t="shared" si="40"/>
        <v>25.939153135764219</v>
      </c>
      <c r="K144" s="170">
        <f t="shared" si="45"/>
        <v>33.223527095640542</v>
      </c>
      <c r="L144" s="171">
        <f t="shared" si="47"/>
        <v>-7.2843739598763229</v>
      </c>
      <c r="M144" s="172">
        <f t="shared" si="28"/>
        <v>-0.58516414542452289</v>
      </c>
      <c r="N144" s="173">
        <f t="shared" si="29"/>
        <v>-7.8695381053008457</v>
      </c>
      <c r="O144" s="172">
        <f t="shared" si="30"/>
        <v>0</v>
      </c>
      <c r="P144" s="172">
        <f t="shared" si="31"/>
        <v>0</v>
      </c>
      <c r="Q144" s="172">
        <v>0</v>
      </c>
      <c r="R144" s="173">
        <f t="shared" si="32"/>
        <v>-7.8695381053008457</v>
      </c>
    </row>
    <row r="145" spans="1:19" x14ac:dyDescent="0.25">
      <c r="A145" s="130">
        <v>6</v>
      </c>
      <c r="B145" s="165">
        <f t="shared" si="39"/>
        <v>45444</v>
      </c>
      <c r="C145" s="185">
        <f t="shared" si="46"/>
        <v>45476</v>
      </c>
      <c r="D145" s="185">
        <f t="shared" si="46"/>
        <v>45497</v>
      </c>
      <c r="E145" s="52" t="s">
        <v>16</v>
      </c>
      <c r="F145" s="130">
        <v>9</v>
      </c>
      <c r="G145" s="167">
        <v>4</v>
      </c>
      <c r="H145" s="168">
        <f t="shared" si="27"/>
        <v>8.3058817739101354</v>
      </c>
      <c r="I145" s="168">
        <f t="shared" si="43"/>
        <v>6.4847882839410547</v>
      </c>
      <c r="J145" s="169">
        <f t="shared" si="40"/>
        <v>25.939153135764219</v>
      </c>
      <c r="K145" s="170">
        <f t="shared" si="45"/>
        <v>33.223527095640542</v>
      </c>
      <c r="L145" s="175">
        <f t="shared" si="47"/>
        <v>-7.2843739598763229</v>
      </c>
      <c r="M145" s="172">
        <f t="shared" si="28"/>
        <v>-0.58516414542452289</v>
      </c>
      <c r="N145" s="173">
        <f t="shared" si="29"/>
        <v>-7.8695381053008457</v>
      </c>
      <c r="O145" s="172">
        <f t="shared" si="30"/>
        <v>0</v>
      </c>
      <c r="P145" s="172">
        <f t="shared" si="31"/>
        <v>0</v>
      </c>
      <c r="Q145" s="172">
        <v>0</v>
      </c>
      <c r="R145" s="173">
        <f t="shared" si="32"/>
        <v>-7.8695381053008457</v>
      </c>
    </row>
    <row r="146" spans="1:19" x14ac:dyDescent="0.25">
      <c r="A146" s="94">
        <v>7</v>
      </c>
      <c r="B146" s="165">
        <f t="shared" si="39"/>
        <v>45474</v>
      </c>
      <c r="C146" s="185">
        <f t="shared" si="46"/>
        <v>45509</v>
      </c>
      <c r="D146" s="185">
        <f t="shared" si="46"/>
        <v>45530</v>
      </c>
      <c r="E146" s="52" t="s">
        <v>16</v>
      </c>
      <c r="F146" s="130">
        <v>9</v>
      </c>
      <c r="G146" s="167">
        <v>6</v>
      </c>
      <c r="H146" s="168">
        <f t="shared" si="27"/>
        <v>8.3058817739101354</v>
      </c>
      <c r="I146" s="168">
        <f t="shared" si="43"/>
        <v>6.4847882839410547</v>
      </c>
      <c r="J146" s="169">
        <f t="shared" si="40"/>
        <v>38.90872970364633</v>
      </c>
      <c r="K146" s="176">
        <f t="shared" si="45"/>
        <v>49.835290643460809</v>
      </c>
      <c r="L146" s="175">
        <f t="shared" si="47"/>
        <v>-10.926560939814479</v>
      </c>
      <c r="M146" s="172">
        <f t="shared" si="28"/>
        <v>-0.87774621813678433</v>
      </c>
      <c r="N146" s="173">
        <f t="shared" si="29"/>
        <v>-11.804307157951264</v>
      </c>
      <c r="O146" s="172">
        <f t="shared" si="30"/>
        <v>0</v>
      </c>
      <c r="P146" s="172">
        <f t="shared" si="31"/>
        <v>0</v>
      </c>
      <c r="Q146" s="172">
        <v>0</v>
      </c>
      <c r="R146" s="173">
        <f t="shared" si="32"/>
        <v>-11.804307157951264</v>
      </c>
    </row>
    <row r="147" spans="1:19" x14ac:dyDescent="0.25">
      <c r="A147" s="130">
        <v>8</v>
      </c>
      <c r="B147" s="165">
        <f t="shared" si="39"/>
        <v>45505</v>
      </c>
      <c r="C147" s="185">
        <f t="shared" si="46"/>
        <v>45539</v>
      </c>
      <c r="D147" s="185">
        <f t="shared" si="46"/>
        <v>45559</v>
      </c>
      <c r="E147" s="52" t="s">
        <v>16</v>
      </c>
      <c r="F147" s="130">
        <v>9</v>
      </c>
      <c r="G147" s="167">
        <v>6</v>
      </c>
      <c r="H147" s="168">
        <f t="shared" si="27"/>
        <v>8.3058817739101354</v>
      </c>
      <c r="I147" s="168">
        <f t="shared" si="43"/>
        <v>6.4847882839410547</v>
      </c>
      <c r="J147" s="169">
        <f t="shared" si="40"/>
        <v>38.90872970364633</v>
      </c>
      <c r="K147" s="176">
        <f t="shared" si="45"/>
        <v>49.835290643460809</v>
      </c>
      <c r="L147" s="175">
        <f t="shared" si="47"/>
        <v>-10.926560939814479</v>
      </c>
      <c r="M147" s="172">
        <f t="shared" si="28"/>
        <v>-0.87774621813678433</v>
      </c>
      <c r="N147" s="173">
        <f t="shared" si="29"/>
        <v>-11.804307157951264</v>
      </c>
      <c r="O147" s="172">
        <f t="shared" si="30"/>
        <v>0</v>
      </c>
      <c r="P147" s="172">
        <f t="shared" si="31"/>
        <v>0</v>
      </c>
      <c r="Q147" s="172">
        <v>0</v>
      </c>
      <c r="R147" s="173">
        <f t="shared" si="32"/>
        <v>-11.804307157951264</v>
      </c>
    </row>
    <row r="148" spans="1:19" x14ac:dyDescent="0.25">
      <c r="A148" s="130">
        <v>9</v>
      </c>
      <c r="B148" s="165">
        <f t="shared" si="39"/>
        <v>45536</v>
      </c>
      <c r="C148" s="185">
        <f t="shared" si="46"/>
        <v>45568</v>
      </c>
      <c r="D148" s="185">
        <f t="shared" si="46"/>
        <v>45589</v>
      </c>
      <c r="E148" s="52" t="s">
        <v>16</v>
      </c>
      <c r="F148" s="130">
        <v>9</v>
      </c>
      <c r="G148" s="167">
        <v>3</v>
      </c>
      <c r="H148" s="168">
        <f t="shared" si="27"/>
        <v>8.3058817739101354</v>
      </c>
      <c r="I148" s="168">
        <f t="shared" ref="I148:I179" si="48">$J$3</f>
        <v>6.4847882839410547</v>
      </c>
      <c r="J148" s="169">
        <f t="shared" si="40"/>
        <v>19.454364851823165</v>
      </c>
      <c r="K148" s="176">
        <f t="shared" si="45"/>
        <v>24.917645321730404</v>
      </c>
      <c r="L148" s="175">
        <f t="shared" si="47"/>
        <v>-5.4632804699072395</v>
      </c>
      <c r="M148" s="172">
        <f t="shared" si="28"/>
        <v>-0.43887310906839216</v>
      </c>
      <c r="N148" s="173">
        <f t="shared" si="29"/>
        <v>-5.9021535789756321</v>
      </c>
      <c r="O148" s="172">
        <f t="shared" si="30"/>
        <v>0</v>
      </c>
      <c r="P148" s="172">
        <f t="shared" si="31"/>
        <v>0</v>
      </c>
      <c r="Q148" s="172">
        <v>0</v>
      </c>
      <c r="R148" s="173">
        <f t="shared" si="32"/>
        <v>-5.9021535789756321</v>
      </c>
    </row>
    <row r="149" spans="1:19" x14ac:dyDescent="0.25">
      <c r="A149" s="94">
        <v>10</v>
      </c>
      <c r="B149" s="165">
        <f t="shared" ref="B149:B211" si="49">DATE($R$1,A149,1)</f>
        <v>45566</v>
      </c>
      <c r="C149" s="185">
        <f t="shared" si="46"/>
        <v>45601</v>
      </c>
      <c r="D149" s="185">
        <f t="shared" si="46"/>
        <v>45621</v>
      </c>
      <c r="E149" s="52" t="s">
        <v>16</v>
      </c>
      <c r="F149" s="130">
        <v>9</v>
      </c>
      <c r="G149" s="167">
        <v>6</v>
      </c>
      <c r="H149" s="168">
        <f t="shared" ref="H149:H211" si="50">+$K$3</f>
        <v>8.3058817739101354</v>
      </c>
      <c r="I149" s="168">
        <f t="shared" si="48"/>
        <v>6.4847882839410547</v>
      </c>
      <c r="J149" s="169">
        <f t="shared" ref="J149:J211" si="51">+$G149*I149</f>
        <v>38.90872970364633</v>
      </c>
      <c r="K149" s="176">
        <f t="shared" si="45"/>
        <v>49.835290643460809</v>
      </c>
      <c r="L149" s="175">
        <f t="shared" si="47"/>
        <v>-10.926560939814479</v>
      </c>
      <c r="M149" s="172">
        <f t="shared" ref="M149:M211" si="52">G149/$G$212*$M$14</f>
        <v>-0.87774621813678433</v>
      </c>
      <c r="N149" s="173">
        <f t="shared" ref="N149:N211" si="53">SUM(L149:M149)</f>
        <v>-11.804307157951264</v>
      </c>
      <c r="O149" s="172">
        <f t="shared" ref="O149:O211" si="54">+$P$3</f>
        <v>0</v>
      </c>
      <c r="P149" s="172">
        <f t="shared" ref="P149:P211" si="55">+G149*O149</f>
        <v>0</v>
      </c>
      <c r="Q149" s="172">
        <v>0</v>
      </c>
      <c r="R149" s="173">
        <f t="shared" ref="R149:R211" si="56">+N149-Q149</f>
        <v>-11.804307157951264</v>
      </c>
    </row>
    <row r="150" spans="1:19" x14ac:dyDescent="0.25">
      <c r="A150" s="130">
        <v>11</v>
      </c>
      <c r="B150" s="165">
        <f t="shared" si="49"/>
        <v>45597</v>
      </c>
      <c r="C150" s="185">
        <f t="shared" si="46"/>
        <v>45630</v>
      </c>
      <c r="D150" s="185">
        <f t="shared" si="46"/>
        <v>45650</v>
      </c>
      <c r="E150" s="52" t="s">
        <v>16</v>
      </c>
      <c r="F150" s="130">
        <v>9</v>
      </c>
      <c r="G150" s="167">
        <v>1</v>
      </c>
      <c r="H150" s="168">
        <f t="shared" si="50"/>
        <v>8.3058817739101354</v>
      </c>
      <c r="I150" s="168">
        <f t="shared" si="48"/>
        <v>6.4847882839410547</v>
      </c>
      <c r="J150" s="169">
        <f t="shared" si="51"/>
        <v>6.4847882839410547</v>
      </c>
      <c r="K150" s="176">
        <f t="shared" si="45"/>
        <v>8.3058817739101354</v>
      </c>
      <c r="L150" s="175">
        <f t="shared" si="47"/>
        <v>-1.8210934899690807</v>
      </c>
      <c r="M150" s="172">
        <f t="shared" si="52"/>
        <v>-0.14629103635613072</v>
      </c>
      <c r="N150" s="173">
        <f t="shared" si="53"/>
        <v>-1.9673845263252114</v>
      </c>
      <c r="O150" s="172">
        <f t="shared" si="54"/>
        <v>0</v>
      </c>
      <c r="P150" s="172">
        <f t="shared" si="55"/>
        <v>0</v>
      </c>
      <c r="Q150" s="172">
        <v>0</v>
      </c>
      <c r="R150" s="173">
        <f t="shared" si="56"/>
        <v>-1.9673845263252114</v>
      </c>
    </row>
    <row r="151" spans="1:19" s="189" customFormat="1" x14ac:dyDescent="0.25">
      <c r="A151" s="130">
        <v>12</v>
      </c>
      <c r="B151" s="187">
        <f t="shared" si="49"/>
        <v>45627</v>
      </c>
      <c r="C151" s="185">
        <f t="shared" si="46"/>
        <v>45660</v>
      </c>
      <c r="D151" s="185">
        <f t="shared" si="46"/>
        <v>45681</v>
      </c>
      <c r="E151" s="188" t="s">
        <v>16</v>
      </c>
      <c r="F151" s="141">
        <v>9</v>
      </c>
      <c r="G151" s="167">
        <v>3</v>
      </c>
      <c r="H151" s="177">
        <f t="shared" si="50"/>
        <v>8.3058817739101354</v>
      </c>
      <c r="I151" s="177">
        <f t="shared" si="48"/>
        <v>6.4847882839410547</v>
      </c>
      <c r="J151" s="178">
        <f t="shared" si="51"/>
        <v>19.454364851823165</v>
      </c>
      <c r="K151" s="179">
        <f t="shared" si="45"/>
        <v>24.917645321730404</v>
      </c>
      <c r="L151" s="180">
        <f t="shared" si="47"/>
        <v>-5.4632804699072395</v>
      </c>
      <c r="M151" s="172">
        <f t="shared" si="52"/>
        <v>-0.43887310906839216</v>
      </c>
      <c r="N151" s="173">
        <f t="shared" si="53"/>
        <v>-5.9021535789756321</v>
      </c>
      <c r="O151" s="172">
        <f t="shared" si="54"/>
        <v>0</v>
      </c>
      <c r="P151" s="172">
        <f t="shared" si="55"/>
        <v>0</v>
      </c>
      <c r="Q151" s="172">
        <v>0</v>
      </c>
      <c r="R151" s="173">
        <f t="shared" si="56"/>
        <v>-5.9021535789756321</v>
      </c>
    </row>
    <row r="152" spans="1:19" x14ac:dyDescent="0.25">
      <c r="A152" s="94">
        <v>1</v>
      </c>
      <c r="B152" s="165">
        <f t="shared" si="49"/>
        <v>45292</v>
      </c>
      <c r="C152" s="182">
        <f t="shared" ref="C152:D171" si="57">+C140</f>
        <v>45327</v>
      </c>
      <c r="D152" s="182">
        <f t="shared" si="57"/>
        <v>45348</v>
      </c>
      <c r="E152" s="192" t="s">
        <v>55</v>
      </c>
      <c r="F152" s="94">
        <v>9</v>
      </c>
      <c r="G152" s="167">
        <v>145</v>
      </c>
      <c r="H152" s="168">
        <f t="shared" si="50"/>
        <v>8.3058817739101354</v>
      </c>
      <c r="I152" s="168">
        <f t="shared" si="48"/>
        <v>6.4847882839410547</v>
      </c>
      <c r="J152" s="169">
        <f t="shared" si="51"/>
        <v>940.29430117145296</v>
      </c>
      <c r="K152" s="170">
        <f t="shared" si="45"/>
        <v>1204.3528572169696</v>
      </c>
      <c r="L152" s="171">
        <f t="shared" si="47"/>
        <v>-264.05855604551664</v>
      </c>
      <c r="M152" s="172">
        <f t="shared" si="52"/>
        <v>-21.212200271638956</v>
      </c>
      <c r="N152" s="173">
        <f t="shared" si="53"/>
        <v>-285.27075631715559</v>
      </c>
      <c r="O152" s="172">
        <f t="shared" si="54"/>
        <v>0</v>
      </c>
      <c r="P152" s="172">
        <f t="shared" si="55"/>
        <v>0</v>
      </c>
      <c r="Q152" s="172">
        <v>0</v>
      </c>
      <c r="R152" s="173">
        <f t="shared" si="56"/>
        <v>-285.27075631715559</v>
      </c>
    </row>
    <row r="153" spans="1:19" x14ac:dyDescent="0.25">
      <c r="A153" s="130">
        <v>2</v>
      </c>
      <c r="B153" s="165">
        <f t="shared" si="49"/>
        <v>45323</v>
      </c>
      <c r="C153" s="185">
        <f t="shared" si="57"/>
        <v>45356</v>
      </c>
      <c r="D153" s="185">
        <f t="shared" si="57"/>
        <v>45376</v>
      </c>
      <c r="E153" s="193" t="s">
        <v>55</v>
      </c>
      <c r="F153" s="130">
        <v>9</v>
      </c>
      <c r="G153" s="167">
        <v>100</v>
      </c>
      <c r="H153" s="168">
        <f t="shared" si="50"/>
        <v>8.3058817739101354</v>
      </c>
      <c r="I153" s="168">
        <f t="shared" si="48"/>
        <v>6.4847882839410547</v>
      </c>
      <c r="J153" s="169">
        <f t="shared" si="51"/>
        <v>648.47882839410545</v>
      </c>
      <c r="K153" s="170">
        <f t="shared" si="45"/>
        <v>830.58817739101357</v>
      </c>
      <c r="L153" s="171">
        <f t="shared" si="47"/>
        <v>-182.10934899690812</v>
      </c>
      <c r="M153" s="172">
        <f t="shared" si="52"/>
        <v>-14.629103635613074</v>
      </c>
      <c r="N153" s="173">
        <f t="shared" si="53"/>
        <v>-196.73845263252119</v>
      </c>
      <c r="O153" s="172">
        <f t="shared" si="54"/>
        <v>0</v>
      </c>
      <c r="P153" s="172">
        <f t="shared" si="55"/>
        <v>0</v>
      </c>
      <c r="Q153" s="172">
        <v>0</v>
      </c>
      <c r="R153" s="173">
        <f t="shared" si="56"/>
        <v>-196.73845263252119</v>
      </c>
    </row>
    <row r="154" spans="1:19" x14ac:dyDescent="0.25">
      <c r="A154" s="130">
        <v>3</v>
      </c>
      <c r="B154" s="165">
        <f t="shared" si="49"/>
        <v>45352</v>
      </c>
      <c r="C154" s="185">
        <f t="shared" si="57"/>
        <v>45385</v>
      </c>
      <c r="D154" s="185">
        <f t="shared" si="57"/>
        <v>45406</v>
      </c>
      <c r="E154" s="193" t="s">
        <v>55</v>
      </c>
      <c r="F154" s="130">
        <v>9</v>
      </c>
      <c r="G154" s="167">
        <v>92</v>
      </c>
      <c r="H154" s="168">
        <f t="shared" si="50"/>
        <v>8.3058817739101354</v>
      </c>
      <c r="I154" s="168">
        <f t="shared" si="48"/>
        <v>6.4847882839410547</v>
      </c>
      <c r="J154" s="169">
        <f t="shared" si="51"/>
        <v>596.60052212257699</v>
      </c>
      <c r="K154" s="170">
        <f t="shared" si="45"/>
        <v>764.14112319973242</v>
      </c>
      <c r="L154" s="171">
        <f>+J154-K154</f>
        <v>-167.54060107715543</v>
      </c>
      <c r="M154" s="172">
        <f t="shared" si="52"/>
        <v>-13.458775344764026</v>
      </c>
      <c r="N154" s="173">
        <f t="shared" si="53"/>
        <v>-180.99937642191946</v>
      </c>
      <c r="O154" s="172">
        <f t="shared" si="54"/>
        <v>0</v>
      </c>
      <c r="P154" s="172">
        <f t="shared" si="55"/>
        <v>0</v>
      </c>
      <c r="Q154" s="172">
        <v>0</v>
      </c>
      <c r="R154" s="173">
        <f t="shared" si="56"/>
        <v>-180.99937642191946</v>
      </c>
    </row>
    <row r="155" spans="1:19" x14ac:dyDescent="0.25">
      <c r="A155" s="94">
        <v>4</v>
      </c>
      <c r="B155" s="165">
        <f t="shared" si="49"/>
        <v>45383</v>
      </c>
      <c r="C155" s="185">
        <f t="shared" si="57"/>
        <v>45415</v>
      </c>
      <c r="D155" s="185">
        <f t="shared" si="57"/>
        <v>45436</v>
      </c>
      <c r="E155" s="193" t="s">
        <v>55</v>
      </c>
      <c r="F155" s="130">
        <v>9</v>
      </c>
      <c r="G155" s="167">
        <v>101</v>
      </c>
      <c r="H155" s="168">
        <f t="shared" si="50"/>
        <v>8.3058817739101354</v>
      </c>
      <c r="I155" s="168">
        <f t="shared" si="48"/>
        <v>6.4847882839410547</v>
      </c>
      <c r="J155" s="169">
        <f t="shared" si="51"/>
        <v>654.96361667804649</v>
      </c>
      <c r="K155" s="170">
        <f t="shared" si="45"/>
        <v>838.89405916492365</v>
      </c>
      <c r="L155" s="171">
        <f t="shared" ref="L155:L165" si="58">+J155-K155</f>
        <v>-183.93044248687715</v>
      </c>
      <c r="M155" s="172">
        <f t="shared" si="52"/>
        <v>-14.775394671969204</v>
      </c>
      <c r="N155" s="173">
        <f t="shared" si="53"/>
        <v>-198.70583715884635</v>
      </c>
      <c r="O155" s="172">
        <f t="shared" si="54"/>
        <v>0</v>
      </c>
      <c r="P155" s="172">
        <f t="shared" si="55"/>
        <v>0</v>
      </c>
      <c r="Q155" s="172">
        <v>0</v>
      </c>
      <c r="R155" s="173">
        <f t="shared" si="56"/>
        <v>-198.70583715884635</v>
      </c>
    </row>
    <row r="156" spans="1:19" x14ac:dyDescent="0.25">
      <c r="A156" s="130">
        <v>5</v>
      </c>
      <c r="B156" s="165">
        <f t="shared" si="49"/>
        <v>45413</v>
      </c>
      <c r="C156" s="185">
        <f t="shared" si="57"/>
        <v>45448</v>
      </c>
      <c r="D156" s="185">
        <f t="shared" si="57"/>
        <v>45467</v>
      </c>
      <c r="E156" s="193" t="s">
        <v>55</v>
      </c>
      <c r="F156" s="130">
        <v>9</v>
      </c>
      <c r="G156" s="167">
        <v>118</v>
      </c>
      <c r="H156" s="168">
        <f t="shared" si="50"/>
        <v>8.3058817739101354</v>
      </c>
      <c r="I156" s="168">
        <f t="shared" si="48"/>
        <v>6.4847882839410547</v>
      </c>
      <c r="J156" s="169">
        <f t="shared" si="51"/>
        <v>765.20501750504445</v>
      </c>
      <c r="K156" s="170">
        <f t="shared" si="45"/>
        <v>980.09404932139603</v>
      </c>
      <c r="L156" s="171">
        <f t="shared" si="58"/>
        <v>-214.88903181635158</v>
      </c>
      <c r="M156" s="172">
        <f t="shared" si="52"/>
        <v>-17.262342290023426</v>
      </c>
      <c r="N156" s="173">
        <f t="shared" si="53"/>
        <v>-232.15137410637499</v>
      </c>
      <c r="O156" s="172">
        <f t="shared" si="54"/>
        <v>0</v>
      </c>
      <c r="P156" s="172">
        <f t="shared" si="55"/>
        <v>0</v>
      </c>
      <c r="Q156" s="172">
        <v>0</v>
      </c>
      <c r="R156" s="173">
        <f t="shared" si="56"/>
        <v>-232.15137410637499</v>
      </c>
    </row>
    <row r="157" spans="1:19" x14ac:dyDescent="0.25">
      <c r="A157" s="130">
        <v>6</v>
      </c>
      <c r="B157" s="165">
        <f t="shared" si="49"/>
        <v>45444</v>
      </c>
      <c r="C157" s="185">
        <f t="shared" si="57"/>
        <v>45476</v>
      </c>
      <c r="D157" s="185">
        <f t="shared" si="57"/>
        <v>45497</v>
      </c>
      <c r="E157" s="193" t="s">
        <v>55</v>
      </c>
      <c r="F157" s="130">
        <v>9</v>
      </c>
      <c r="G157" s="167">
        <v>173</v>
      </c>
      <c r="H157" s="168">
        <f t="shared" si="50"/>
        <v>8.3058817739101354</v>
      </c>
      <c r="I157" s="168">
        <f t="shared" si="48"/>
        <v>6.4847882839410547</v>
      </c>
      <c r="J157" s="169">
        <f t="shared" si="51"/>
        <v>1121.8683731218025</v>
      </c>
      <c r="K157" s="170">
        <f t="shared" si="45"/>
        <v>1436.9175468864535</v>
      </c>
      <c r="L157" s="175">
        <f t="shared" si="58"/>
        <v>-315.04917376465096</v>
      </c>
      <c r="M157" s="172">
        <f t="shared" si="52"/>
        <v>-25.308349289610614</v>
      </c>
      <c r="N157" s="173">
        <f t="shared" si="53"/>
        <v>-340.35752305426155</v>
      </c>
      <c r="O157" s="172">
        <f t="shared" si="54"/>
        <v>0</v>
      </c>
      <c r="P157" s="172">
        <f t="shared" si="55"/>
        <v>0</v>
      </c>
      <c r="Q157" s="172">
        <v>0</v>
      </c>
      <c r="R157" s="173">
        <f t="shared" si="56"/>
        <v>-340.35752305426155</v>
      </c>
    </row>
    <row r="158" spans="1:19" x14ac:dyDescent="0.25">
      <c r="A158" s="94">
        <v>7</v>
      </c>
      <c r="B158" s="165">
        <f t="shared" si="49"/>
        <v>45474</v>
      </c>
      <c r="C158" s="185">
        <f t="shared" si="57"/>
        <v>45509</v>
      </c>
      <c r="D158" s="185">
        <f t="shared" si="57"/>
        <v>45530</v>
      </c>
      <c r="E158" s="193" t="s">
        <v>55</v>
      </c>
      <c r="F158" s="130">
        <v>9</v>
      </c>
      <c r="G158" s="167">
        <v>164</v>
      </c>
      <c r="H158" s="168">
        <f t="shared" si="50"/>
        <v>8.3058817739101354</v>
      </c>
      <c r="I158" s="168">
        <f t="shared" si="48"/>
        <v>6.4847882839410547</v>
      </c>
      <c r="J158" s="169">
        <f t="shared" si="51"/>
        <v>1063.5052785663329</v>
      </c>
      <c r="K158" s="176">
        <f t="shared" si="45"/>
        <v>1362.1646109212622</v>
      </c>
      <c r="L158" s="175">
        <f t="shared" si="58"/>
        <v>-298.65933235492935</v>
      </c>
      <c r="M158" s="172">
        <f t="shared" si="52"/>
        <v>-23.99172996240544</v>
      </c>
      <c r="N158" s="173">
        <f t="shared" si="53"/>
        <v>-322.65106231733478</v>
      </c>
      <c r="O158" s="172">
        <f t="shared" si="54"/>
        <v>0</v>
      </c>
      <c r="P158" s="172">
        <f t="shared" si="55"/>
        <v>0</v>
      </c>
      <c r="Q158" s="172">
        <v>0</v>
      </c>
      <c r="R158" s="173">
        <f t="shared" si="56"/>
        <v>-322.65106231733478</v>
      </c>
    </row>
    <row r="159" spans="1:19" x14ac:dyDescent="0.25">
      <c r="A159" s="130">
        <v>8</v>
      </c>
      <c r="B159" s="165">
        <f t="shared" si="49"/>
        <v>45505</v>
      </c>
      <c r="C159" s="185">
        <f t="shared" si="57"/>
        <v>45539</v>
      </c>
      <c r="D159" s="185">
        <f t="shared" si="57"/>
        <v>45559</v>
      </c>
      <c r="E159" s="193" t="s">
        <v>55</v>
      </c>
      <c r="F159" s="94">
        <v>9</v>
      </c>
      <c r="G159" s="167">
        <v>170</v>
      </c>
      <c r="H159" s="168">
        <f t="shared" si="50"/>
        <v>8.3058817739101354</v>
      </c>
      <c r="I159" s="168">
        <f t="shared" si="48"/>
        <v>6.4847882839410547</v>
      </c>
      <c r="J159" s="169">
        <f t="shared" si="51"/>
        <v>1102.4140082699794</v>
      </c>
      <c r="K159" s="176">
        <f t="shared" si="45"/>
        <v>1411.9999015647229</v>
      </c>
      <c r="L159" s="175">
        <f t="shared" si="58"/>
        <v>-309.58589329474353</v>
      </c>
      <c r="M159" s="172">
        <f t="shared" si="52"/>
        <v>-24.869476180542225</v>
      </c>
      <c r="N159" s="173">
        <f t="shared" si="53"/>
        <v>-334.45536947528575</v>
      </c>
      <c r="O159" s="172">
        <f t="shared" si="54"/>
        <v>0</v>
      </c>
      <c r="P159" s="172">
        <f t="shared" si="55"/>
        <v>0</v>
      </c>
      <c r="Q159" s="172">
        <v>0</v>
      </c>
      <c r="R159" s="173">
        <f t="shared" si="56"/>
        <v>-334.45536947528575</v>
      </c>
      <c r="S159" s="50"/>
    </row>
    <row r="160" spans="1:19" x14ac:dyDescent="0.25">
      <c r="A160" s="130">
        <v>9</v>
      </c>
      <c r="B160" s="165">
        <f t="shared" si="49"/>
        <v>45536</v>
      </c>
      <c r="C160" s="185">
        <f t="shared" si="57"/>
        <v>45568</v>
      </c>
      <c r="D160" s="185">
        <f t="shared" si="57"/>
        <v>45589</v>
      </c>
      <c r="E160" s="193" t="s">
        <v>55</v>
      </c>
      <c r="F160" s="94">
        <v>9</v>
      </c>
      <c r="G160" s="167">
        <v>156</v>
      </c>
      <c r="H160" s="168">
        <f t="shared" si="50"/>
        <v>8.3058817739101354</v>
      </c>
      <c r="I160" s="168">
        <f t="shared" si="48"/>
        <v>6.4847882839410547</v>
      </c>
      <c r="J160" s="169">
        <f t="shared" si="51"/>
        <v>1011.6269722948045</v>
      </c>
      <c r="K160" s="176">
        <f t="shared" si="45"/>
        <v>1295.7175567299812</v>
      </c>
      <c r="L160" s="175">
        <f t="shared" si="58"/>
        <v>-284.09058443517665</v>
      </c>
      <c r="M160" s="172">
        <f t="shared" si="52"/>
        <v>-22.821401671556394</v>
      </c>
      <c r="N160" s="173">
        <f t="shared" si="53"/>
        <v>-306.91198610673302</v>
      </c>
      <c r="O160" s="172">
        <f t="shared" si="54"/>
        <v>0</v>
      </c>
      <c r="P160" s="172">
        <f t="shared" si="55"/>
        <v>0</v>
      </c>
      <c r="Q160" s="172">
        <v>0</v>
      </c>
      <c r="R160" s="173">
        <f t="shared" si="56"/>
        <v>-306.91198610673302</v>
      </c>
    </row>
    <row r="161" spans="1:19" x14ac:dyDescent="0.25">
      <c r="A161" s="94">
        <v>10</v>
      </c>
      <c r="B161" s="165">
        <f t="shared" si="49"/>
        <v>45566</v>
      </c>
      <c r="C161" s="185">
        <f t="shared" si="57"/>
        <v>45601</v>
      </c>
      <c r="D161" s="185">
        <f t="shared" si="57"/>
        <v>45621</v>
      </c>
      <c r="E161" s="193" t="s">
        <v>55</v>
      </c>
      <c r="F161" s="94">
        <v>9</v>
      </c>
      <c r="G161" s="167">
        <v>139</v>
      </c>
      <c r="H161" s="168">
        <f t="shared" si="50"/>
        <v>8.3058817739101354</v>
      </c>
      <c r="I161" s="168">
        <f t="shared" si="48"/>
        <v>6.4847882839410547</v>
      </c>
      <c r="J161" s="169">
        <f t="shared" si="51"/>
        <v>901.38557146780659</v>
      </c>
      <c r="K161" s="176">
        <f t="shared" si="45"/>
        <v>1154.5175665735089</v>
      </c>
      <c r="L161" s="175">
        <f t="shared" si="58"/>
        <v>-253.13199510570234</v>
      </c>
      <c r="M161" s="172">
        <f t="shared" si="52"/>
        <v>-20.334454053502171</v>
      </c>
      <c r="N161" s="173">
        <f t="shared" si="53"/>
        <v>-273.4664491592045</v>
      </c>
      <c r="O161" s="172">
        <f t="shared" si="54"/>
        <v>0</v>
      </c>
      <c r="P161" s="172">
        <f t="shared" si="55"/>
        <v>0</v>
      </c>
      <c r="Q161" s="172">
        <v>0</v>
      </c>
      <c r="R161" s="173">
        <f t="shared" si="56"/>
        <v>-273.4664491592045</v>
      </c>
    </row>
    <row r="162" spans="1:19" x14ac:dyDescent="0.25">
      <c r="A162" s="130">
        <v>11</v>
      </c>
      <c r="B162" s="165">
        <f t="shared" si="49"/>
        <v>45597</v>
      </c>
      <c r="C162" s="185">
        <f t="shared" si="57"/>
        <v>45630</v>
      </c>
      <c r="D162" s="185">
        <f t="shared" si="57"/>
        <v>45650</v>
      </c>
      <c r="E162" s="193" t="s">
        <v>55</v>
      </c>
      <c r="F162" s="94">
        <v>9</v>
      </c>
      <c r="G162" s="167">
        <v>90</v>
      </c>
      <c r="H162" s="168">
        <f t="shared" si="50"/>
        <v>8.3058817739101354</v>
      </c>
      <c r="I162" s="168">
        <f t="shared" si="48"/>
        <v>6.4847882839410547</v>
      </c>
      <c r="J162" s="169">
        <f t="shared" si="51"/>
        <v>583.6309455546949</v>
      </c>
      <c r="K162" s="176">
        <f t="shared" si="45"/>
        <v>747.52935965191216</v>
      </c>
      <c r="L162" s="175">
        <f t="shared" si="58"/>
        <v>-163.89841409721726</v>
      </c>
      <c r="M162" s="172">
        <f t="shared" si="52"/>
        <v>-13.166193272051766</v>
      </c>
      <c r="N162" s="173">
        <f t="shared" si="53"/>
        <v>-177.06460736926903</v>
      </c>
      <c r="O162" s="172">
        <f t="shared" si="54"/>
        <v>0</v>
      </c>
      <c r="P162" s="172">
        <f t="shared" si="55"/>
        <v>0</v>
      </c>
      <c r="Q162" s="172">
        <v>0</v>
      </c>
      <c r="R162" s="173">
        <f t="shared" si="56"/>
        <v>-177.06460736926903</v>
      </c>
    </row>
    <row r="163" spans="1:19" s="189" customFormat="1" x14ac:dyDescent="0.25">
      <c r="A163" s="130">
        <v>12</v>
      </c>
      <c r="B163" s="187">
        <f t="shared" si="49"/>
        <v>45627</v>
      </c>
      <c r="C163" s="185">
        <f t="shared" si="57"/>
        <v>45660</v>
      </c>
      <c r="D163" s="185">
        <f t="shared" si="57"/>
        <v>45681</v>
      </c>
      <c r="E163" s="194" t="s">
        <v>55</v>
      </c>
      <c r="F163" s="141">
        <v>9</v>
      </c>
      <c r="G163" s="167">
        <v>110</v>
      </c>
      <c r="H163" s="177">
        <f t="shared" si="50"/>
        <v>8.3058817739101354</v>
      </c>
      <c r="I163" s="177">
        <f t="shared" si="48"/>
        <v>6.4847882839410547</v>
      </c>
      <c r="J163" s="178">
        <f t="shared" si="51"/>
        <v>713.32671123351599</v>
      </c>
      <c r="K163" s="179">
        <f t="shared" si="45"/>
        <v>913.64699513011487</v>
      </c>
      <c r="L163" s="180">
        <f t="shared" si="58"/>
        <v>-200.32028389659888</v>
      </c>
      <c r="M163" s="172">
        <f t="shared" si="52"/>
        <v>-16.09201399917438</v>
      </c>
      <c r="N163" s="173">
        <f t="shared" si="53"/>
        <v>-216.41229789577326</v>
      </c>
      <c r="O163" s="172">
        <f t="shared" si="54"/>
        <v>0</v>
      </c>
      <c r="P163" s="172">
        <f t="shared" si="55"/>
        <v>0</v>
      </c>
      <c r="Q163" s="172">
        <v>0</v>
      </c>
      <c r="R163" s="173">
        <f t="shared" si="56"/>
        <v>-216.41229789577326</v>
      </c>
    </row>
    <row r="164" spans="1:19" x14ac:dyDescent="0.25">
      <c r="A164" s="94">
        <v>1</v>
      </c>
      <c r="B164" s="165">
        <f t="shared" si="49"/>
        <v>45292</v>
      </c>
      <c r="C164" s="182">
        <f t="shared" si="57"/>
        <v>45327</v>
      </c>
      <c r="D164" s="182">
        <f t="shared" si="57"/>
        <v>45348</v>
      </c>
      <c r="E164" s="192" t="s">
        <v>56</v>
      </c>
      <c r="F164" s="94">
        <v>9</v>
      </c>
      <c r="G164" s="167">
        <v>9</v>
      </c>
      <c r="H164" s="168">
        <f t="shared" si="50"/>
        <v>8.3058817739101354</v>
      </c>
      <c r="I164" s="168">
        <f t="shared" si="48"/>
        <v>6.4847882839410547</v>
      </c>
      <c r="J164" s="169">
        <f t="shared" si="51"/>
        <v>58.363094555469495</v>
      </c>
      <c r="K164" s="170">
        <f t="shared" si="45"/>
        <v>74.752935965191213</v>
      </c>
      <c r="L164" s="171">
        <f t="shared" si="58"/>
        <v>-16.389841409721718</v>
      </c>
      <c r="M164" s="172">
        <f t="shared" si="52"/>
        <v>-1.3166193272051767</v>
      </c>
      <c r="N164" s="173">
        <f t="shared" si="53"/>
        <v>-17.706460736926896</v>
      </c>
      <c r="O164" s="172">
        <f t="shared" si="54"/>
        <v>0</v>
      </c>
      <c r="P164" s="172">
        <f t="shared" si="55"/>
        <v>0</v>
      </c>
      <c r="Q164" s="172">
        <v>0</v>
      </c>
      <c r="R164" s="173">
        <f t="shared" si="56"/>
        <v>-17.706460736926896</v>
      </c>
    </row>
    <row r="165" spans="1:19" x14ac:dyDescent="0.25">
      <c r="A165" s="130">
        <v>2</v>
      </c>
      <c r="B165" s="165">
        <f t="shared" si="49"/>
        <v>45323</v>
      </c>
      <c r="C165" s="185">
        <f t="shared" si="57"/>
        <v>45356</v>
      </c>
      <c r="D165" s="185">
        <f t="shared" si="57"/>
        <v>45376</v>
      </c>
      <c r="E165" s="193" t="s">
        <v>56</v>
      </c>
      <c r="F165" s="130">
        <v>9</v>
      </c>
      <c r="G165" s="167">
        <v>8</v>
      </c>
      <c r="H165" s="168">
        <f t="shared" si="50"/>
        <v>8.3058817739101354</v>
      </c>
      <c r="I165" s="168">
        <f t="shared" si="48"/>
        <v>6.4847882839410547</v>
      </c>
      <c r="J165" s="169">
        <f t="shared" si="51"/>
        <v>51.878306271528437</v>
      </c>
      <c r="K165" s="170">
        <f t="shared" si="45"/>
        <v>66.447054191281083</v>
      </c>
      <c r="L165" s="171">
        <f t="shared" si="58"/>
        <v>-14.568747919752646</v>
      </c>
      <c r="M165" s="172">
        <f t="shared" si="52"/>
        <v>-1.1703282908490458</v>
      </c>
      <c r="N165" s="173">
        <f t="shared" si="53"/>
        <v>-15.739076210601691</v>
      </c>
      <c r="O165" s="172">
        <f t="shared" si="54"/>
        <v>0</v>
      </c>
      <c r="P165" s="172">
        <f t="shared" si="55"/>
        <v>0</v>
      </c>
      <c r="Q165" s="172">
        <v>0</v>
      </c>
      <c r="R165" s="173">
        <f t="shared" si="56"/>
        <v>-15.739076210601691</v>
      </c>
    </row>
    <row r="166" spans="1:19" x14ac:dyDescent="0.25">
      <c r="A166" s="130">
        <v>3</v>
      </c>
      <c r="B166" s="165">
        <f t="shared" si="49"/>
        <v>45352</v>
      </c>
      <c r="C166" s="185">
        <f t="shared" si="57"/>
        <v>45385</v>
      </c>
      <c r="D166" s="185">
        <f t="shared" si="57"/>
        <v>45406</v>
      </c>
      <c r="E166" s="193" t="s">
        <v>56</v>
      </c>
      <c r="F166" s="130">
        <v>9</v>
      </c>
      <c r="G166" s="167">
        <v>10</v>
      </c>
      <c r="H166" s="168">
        <f t="shared" si="50"/>
        <v>8.3058817739101354</v>
      </c>
      <c r="I166" s="168">
        <f t="shared" si="48"/>
        <v>6.4847882839410547</v>
      </c>
      <c r="J166" s="169">
        <f t="shared" si="51"/>
        <v>64.847882839410545</v>
      </c>
      <c r="K166" s="170">
        <f t="shared" si="45"/>
        <v>83.058817739101357</v>
      </c>
      <c r="L166" s="171">
        <f>+J166-K166</f>
        <v>-18.210934899690812</v>
      </c>
      <c r="M166" s="172">
        <f t="shared" si="52"/>
        <v>-1.4629103635613074</v>
      </c>
      <c r="N166" s="173">
        <f t="shared" si="53"/>
        <v>-19.673845263252119</v>
      </c>
      <c r="O166" s="172">
        <f t="shared" si="54"/>
        <v>0</v>
      </c>
      <c r="P166" s="172">
        <f t="shared" si="55"/>
        <v>0</v>
      </c>
      <c r="Q166" s="172">
        <v>0</v>
      </c>
      <c r="R166" s="173">
        <f t="shared" si="56"/>
        <v>-19.673845263252119</v>
      </c>
    </row>
    <row r="167" spans="1:19" x14ac:dyDescent="0.25">
      <c r="A167" s="94">
        <v>4</v>
      </c>
      <c r="B167" s="165">
        <f t="shared" si="49"/>
        <v>45383</v>
      </c>
      <c r="C167" s="185">
        <f t="shared" si="57"/>
        <v>45415</v>
      </c>
      <c r="D167" s="185">
        <f t="shared" si="57"/>
        <v>45436</v>
      </c>
      <c r="E167" s="193" t="s">
        <v>56</v>
      </c>
      <c r="F167" s="130">
        <v>9</v>
      </c>
      <c r="G167" s="167">
        <v>7</v>
      </c>
      <c r="H167" s="168">
        <f t="shared" si="50"/>
        <v>8.3058817739101354</v>
      </c>
      <c r="I167" s="168">
        <f t="shared" si="48"/>
        <v>6.4847882839410547</v>
      </c>
      <c r="J167" s="169">
        <f t="shared" si="51"/>
        <v>45.39351798758738</v>
      </c>
      <c r="K167" s="170">
        <f t="shared" si="45"/>
        <v>58.141172417370946</v>
      </c>
      <c r="L167" s="171">
        <f t="shared" ref="L167:L177" si="59">+J167-K167</f>
        <v>-12.747654429783566</v>
      </c>
      <c r="M167" s="172">
        <f t="shared" si="52"/>
        <v>-1.0240372544929151</v>
      </c>
      <c r="N167" s="173">
        <f t="shared" si="53"/>
        <v>-13.771691684276481</v>
      </c>
      <c r="O167" s="172">
        <f t="shared" si="54"/>
        <v>0</v>
      </c>
      <c r="P167" s="172">
        <f t="shared" si="55"/>
        <v>0</v>
      </c>
      <c r="Q167" s="172">
        <v>0</v>
      </c>
      <c r="R167" s="173">
        <f t="shared" si="56"/>
        <v>-13.771691684276481</v>
      </c>
    </row>
    <row r="168" spans="1:19" x14ac:dyDescent="0.25">
      <c r="A168" s="130">
        <v>5</v>
      </c>
      <c r="B168" s="165">
        <f t="shared" si="49"/>
        <v>45413</v>
      </c>
      <c r="C168" s="185">
        <f t="shared" si="57"/>
        <v>45448</v>
      </c>
      <c r="D168" s="185">
        <f t="shared" si="57"/>
        <v>45467</v>
      </c>
      <c r="E168" s="193" t="s">
        <v>56</v>
      </c>
      <c r="F168" s="130">
        <v>9</v>
      </c>
      <c r="G168" s="167">
        <v>10</v>
      </c>
      <c r="H168" s="168">
        <f t="shared" si="50"/>
        <v>8.3058817739101354</v>
      </c>
      <c r="I168" s="168">
        <f t="shared" si="48"/>
        <v>6.4847882839410547</v>
      </c>
      <c r="J168" s="169">
        <f t="shared" si="51"/>
        <v>64.847882839410545</v>
      </c>
      <c r="K168" s="170">
        <f t="shared" si="45"/>
        <v>83.058817739101357</v>
      </c>
      <c r="L168" s="171">
        <f t="shared" si="59"/>
        <v>-18.210934899690812</v>
      </c>
      <c r="M168" s="172">
        <f t="shared" si="52"/>
        <v>-1.4629103635613074</v>
      </c>
      <c r="N168" s="173">
        <f t="shared" si="53"/>
        <v>-19.673845263252119</v>
      </c>
      <c r="O168" s="172">
        <f t="shared" si="54"/>
        <v>0</v>
      </c>
      <c r="P168" s="172">
        <f t="shared" si="55"/>
        <v>0</v>
      </c>
      <c r="Q168" s="172">
        <v>0</v>
      </c>
      <c r="R168" s="173">
        <f t="shared" si="56"/>
        <v>-19.673845263252119</v>
      </c>
    </row>
    <row r="169" spans="1:19" x14ac:dyDescent="0.25">
      <c r="A169" s="130">
        <v>6</v>
      </c>
      <c r="B169" s="165">
        <f t="shared" si="49"/>
        <v>45444</v>
      </c>
      <c r="C169" s="185">
        <f t="shared" si="57"/>
        <v>45476</v>
      </c>
      <c r="D169" s="185">
        <f t="shared" si="57"/>
        <v>45497</v>
      </c>
      <c r="E169" s="193" t="s">
        <v>56</v>
      </c>
      <c r="F169" s="130">
        <v>9</v>
      </c>
      <c r="G169" s="167">
        <v>10</v>
      </c>
      <c r="H169" s="168">
        <f t="shared" si="50"/>
        <v>8.3058817739101354</v>
      </c>
      <c r="I169" s="168">
        <f t="shared" si="48"/>
        <v>6.4847882839410547</v>
      </c>
      <c r="J169" s="169">
        <f t="shared" si="51"/>
        <v>64.847882839410545</v>
      </c>
      <c r="K169" s="170">
        <f t="shared" si="45"/>
        <v>83.058817739101357</v>
      </c>
      <c r="L169" s="175">
        <f t="shared" si="59"/>
        <v>-18.210934899690812</v>
      </c>
      <c r="M169" s="172">
        <f t="shared" si="52"/>
        <v>-1.4629103635613074</v>
      </c>
      <c r="N169" s="173">
        <f t="shared" si="53"/>
        <v>-19.673845263252119</v>
      </c>
      <c r="O169" s="172">
        <f t="shared" si="54"/>
        <v>0</v>
      </c>
      <c r="P169" s="172">
        <f t="shared" si="55"/>
        <v>0</v>
      </c>
      <c r="Q169" s="172">
        <v>0</v>
      </c>
      <c r="R169" s="173">
        <f t="shared" si="56"/>
        <v>-19.673845263252119</v>
      </c>
    </row>
    <row r="170" spans="1:19" x14ac:dyDescent="0.25">
      <c r="A170" s="94">
        <v>7</v>
      </c>
      <c r="B170" s="165">
        <f t="shared" si="49"/>
        <v>45474</v>
      </c>
      <c r="C170" s="185">
        <f t="shared" si="57"/>
        <v>45509</v>
      </c>
      <c r="D170" s="185">
        <f t="shared" si="57"/>
        <v>45530</v>
      </c>
      <c r="E170" s="193" t="s">
        <v>56</v>
      </c>
      <c r="F170" s="130">
        <v>9</v>
      </c>
      <c r="G170" s="167">
        <v>12</v>
      </c>
      <c r="H170" s="168">
        <f t="shared" si="50"/>
        <v>8.3058817739101354</v>
      </c>
      <c r="I170" s="168">
        <f t="shared" si="48"/>
        <v>6.4847882839410547</v>
      </c>
      <c r="J170" s="169">
        <f t="shared" si="51"/>
        <v>77.81745940729266</v>
      </c>
      <c r="K170" s="176">
        <f t="shared" si="45"/>
        <v>99.670581286921617</v>
      </c>
      <c r="L170" s="175">
        <f t="shared" si="59"/>
        <v>-21.853121879628958</v>
      </c>
      <c r="M170" s="172">
        <f t="shared" si="52"/>
        <v>-1.7554924362735687</v>
      </c>
      <c r="N170" s="173">
        <f t="shared" si="53"/>
        <v>-23.608614315902528</v>
      </c>
      <c r="O170" s="172">
        <f t="shared" si="54"/>
        <v>0</v>
      </c>
      <c r="P170" s="172">
        <f t="shared" si="55"/>
        <v>0</v>
      </c>
      <c r="Q170" s="172">
        <v>0</v>
      </c>
      <c r="R170" s="173">
        <f t="shared" si="56"/>
        <v>-23.608614315902528</v>
      </c>
    </row>
    <row r="171" spans="1:19" x14ac:dyDescent="0.25">
      <c r="A171" s="130">
        <v>8</v>
      </c>
      <c r="B171" s="165">
        <f t="shared" si="49"/>
        <v>45505</v>
      </c>
      <c r="C171" s="185">
        <f t="shared" si="57"/>
        <v>45539</v>
      </c>
      <c r="D171" s="185">
        <f t="shared" si="57"/>
        <v>45559</v>
      </c>
      <c r="E171" s="193" t="s">
        <v>56</v>
      </c>
      <c r="F171" s="94">
        <v>9</v>
      </c>
      <c r="G171" s="167">
        <v>12</v>
      </c>
      <c r="H171" s="168">
        <f t="shared" si="50"/>
        <v>8.3058817739101354</v>
      </c>
      <c r="I171" s="168">
        <f t="shared" si="48"/>
        <v>6.4847882839410547</v>
      </c>
      <c r="J171" s="169">
        <f t="shared" si="51"/>
        <v>77.81745940729266</v>
      </c>
      <c r="K171" s="176">
        <f t="shared" si="45"/>
        <v>99.670581286921617</v>
      </c>
      <c r="L171" s="175">
        <f t="shared" si="59"/>
        <v>-21.853121879628958</v>
      </c>
      <c r="M171" s="172">
        <f t="shared" si="52"/>
        <v>-1.7554924362735687</v>
      </c>
      <c r="N171" s="173">
        <f t="shared" si="53"/>
        <v>-23.608614315902528</v>
      </c>
      <c r="O171" s="172">
        <f t="shared" si="54"/>
        <v>0</v>
      </c>
      <c r="P171" s="172">
        <f t="shared" si="55"/>
        <v>0</v>
      </c>
      <c r="Q171" s="172">
        <v>0</v>
      </c>
      <c r="R171" s="173">
        <f t="shared" si="56"/>
        <v>-23.608614315902528</v>
      </c>
      <c r="S171" s="50"/>
    </row>
    <row r="172" spans="1:19" x14ac:dyDescent="0.25">
      <c r="A172" s="130">
        <v>9</v>
      </c>
      <c r="B172" s="165">
        <f t="shared" si="49"/>
        <v>45536</v>
      </c>
      <c r="C172" s="185">
        <f t="shared" ref="C172:D175" si="60">+C160</f>
        <v>45568</v>
      </c>
      <c r="D172" s="185">
        <f t="shared" si="60"/>
        <v>45589</v>
      </c>
      <c r="E172" s="193" t="s">
        <v>56</v>
      </c>
      <c r="F172" s="94">
        <v>9</v>
      </c>
      <c r="G172" s="167">
        <v>11</v>
      </c>
      <c r="H172" s="168">
        <f t="shared" si="50"/>
        <v>8.3058817739101354</v>
      </c>
      <c r="I172" s="168">
        <f t="shared" si="48"/>
        <v>6.4847882839410547</v>
      </c>
      <c r="J172" s="169">
        <f t="shared" si="51"/>
        <v>71.332671123351602</v>
      </c>
      <c r="K172" s="176">
        <f t="shared" si="45"/>
        <v>91.364699513011487</v>
      </c>
      <c r="L172" s="175">
        <f t="shared" si="59"/>
        <v>-20.032028389659885</v>
      </c>
      <c r="M172" s="172">
        <f t="shared" si="52"/>
        <v>-1.6092013999174379</v>
      </c>
      <c r="N172" s="173">
        <f t="shared" si="53"/>
        <v>-21.641229789577324</v>
      </c>
      <c r="O172" s="172">
        <f t="shared" si="54"/>
        <v>0</v>
      </c>
      <c r="P172" s="172">
        <f t="shared" si="55"/>
        <v>0</v>
      </c>
      <c r="Q172" s="172">
        <v>0</v>
      </c>
      <c r="R172" s="173">
        <f t="shared" si="56"/>
        <v>-21.641229789577324</v>
      </c>
    </row>
    <row r="173" spans="1:19" x14ac:dyDescent="0.25">
      <c r="A173" s="94">
        <v>10</v>
      </c>
      <c r="B173" s="165">
        <f t="shared" si="49"/>
        <v>45566</v>
      </c>
      <c r="C173" s="185">
        <f t="shared" si="60"/>
        <v>45601</v>
      </c>
      <c r="D173" s="185">
        <f t="shared" si="60"/>
        <v>45621</v>
      </c>
      <c r="E173" s="193" t="s">
        <v>56</v>
      </c>
      <c r="F173" s="94">
        <v>9</v>
      </c>
      <c r="G173" s="167">
        <v>10</v>
      </c>
      <c r="H173" s="168">
        <f t="shared" si="50"/>
        <v>8.3058817739101354</v>
      </c>
      <c r="I173" s="168">
        <f t="shared" si="48"/>
        <v>6.4847882839410547</v>
      </c>
      <c r="J173" s="169">
        <f t="shared" si="51"/>
        <v>64.847882839410545</v>
      </c>
      <c r="K173" s="176">
        <f t="shared" si="45"/>
        <v>83.058817739101357</v>
      </c>
      <c r="L173" s="175">
        <f t="shared" si="59"/>
        <v>-18.210934899690812</v>
      </c>
      <c r="M173" s="172">
        <f t="shared" si="52"/>
        <v>-1.4629103635613074</v>
      </c>
      <c r="N173" s="173">
        <f t="shared" si="53"/>
        <v>-19.673845263252119</v>
      </c>
      <c r="O173" s="172">
        <f t="shared" si="54"/>
        <v>0</v>
      </c>
      <c r="P173" s="172">
        <f t="shared" si="55"/>
        <v>0</v>
      </c>
      <c r="Q173" s="172">
        <v>0</v>
      </c>
      <c r="R173" s="173">
        <f t="shared" si="56"/>
        <v>-19.673845263252119</v>
      </c>
    </row>
    <row r="174" spans="1:19" x14ac:dyDescent="0.25">
      <c r="A174" s="130">
        <v>11</v>
      </c>
      <c r="B174" s="165">
        <f t="shared" si="49"/>
        <v>45597</v>
      </c>
      <c r="C174" s="185">
        <f t="shared" si="60"/>
        <v>45630</v>
      </c>
      <c r="D174" s="185">
        <f t="shared" si="60"/>
        <v>45650</v>
      </c>
      <c r="E174" s="193" t="s">
        <v>56</v>
      </c>
      <c r="F174" s="94">
        <v>9</v>
      </c>
      <c r="G174" s="167">
        <v>10</v>
      </c>
      <c r="H174" s="168">
        <f t="shared" si="50"/>
        <v>8.3058817739101354</v>
      </c>
      <c r="I174" s="168">
        <f t="shared" si="48"/>
        <v>6.4847882839410547</v>
      </c>
      <c r="J174" s="169">
        <f t="shared" si="51"/>
        <v>64.847882839410545</v>
      </c>
      <c r="K174" s="176">
        <f t="shared" si="45"/>
        <v>83.058817739101357</v>
      </c>
      <c r="L174" s="175">
        <f t="shared" si="59"/>
        <v>-18.210934899690812</v>
      </c>
      <c r="M174" s="172">
        <f t="shared" si="52"/>
        <v>-1.4629103635613074</v>
      </c>
      <c r="N174" s="173">
        <f t="shared" si="53"/>
        <v>-19.673845263252119</v>
      </c>
      <c r="O174" s="172">
        <f t="shared" si="54"/>
        <v>0</v>
      </c>
      <c r="P174" s="172">
        <f t="shared" si="55"/>
        <v>0</v>
      </c>
      <c r="Q174" s="172">
        <v>0</v>
      </c>
      <c r="R174" s="173">
        <f t="shared" si="56"/>
        <v>-19.673845263252119</v>
      </c>
    </row>
    <row r="175" spans="1:19" s="189" customFormat="1" x14ac:dyDescent="0.25">
      <c r="A175" s="130">
        <v>12</v>
      </c>
      <c r="B175" s="187">
        <f t="shared" si="49"/>
        <v>45627</v>
      </c>
      <c r="C175" s="185">
        <f t="shared" si="60"/>
        <v>45660</v>
      </c>
      <c r="D175" s="185">
        <f t="shared" si="60"/>
        <v>45681</v>
      </c>
      <c r="E175" s="194" t="s">
        <v>56</v>
      </c>
      <c r="F175" s="141">
        <v>9</v>
      </c>
      <c r="G175" s="167">
        <v>10</v>
      </c>
      <c r="H175" s="177">
        <f t="shared" si="50"/>
        <v>8.3058817739101354</v>
      </c>
      <c r="I175" s="177">
        <f t="shared" si="48"/>
        <v>6.4847882839410547</v>
      </c>
      <c r="J175" s="178">
        <f t="shared" si="51"/>
        <v>64.847882839410545</v>
      </c>
      <c r="K175" s="179">
        <f t="shared" si="45"/>
        <v>83.058817739101357</v>
      </c>
      <c r="L175" s="180">
        <f t="shared" si="59"/>
        <v>-18.210934899690812</v>
      </c>
      <c r="M175" s="172">
        <f t="shared" si="52"/>
        <v>-1.4629103635613074</v>
      </c>
      <c r="N175" s="173">
        <f t="shared" si="53"/>
        <v>-19.673845263252119</v>
      </c>
      <c r="O175" s="172">
        <f t="shared" si="54"/>
        <v>0</v>
      </c>
      <c r="P175" s="172">
        <f t="shared" si="55"/>
        <v>0</v>
      </c>
      <c r="Q175" s="172">
        <v>0</v>
      </c>
      <c r="R175" s="173">
        <f t="shared" si="56"/>
        <v>-19.673845263252119</v>
      </c>
    </row>
    <row r="176" spans="1:19" x14ac:dyDescent="0.25">
      <c r="A176" s="94">
        <v>1</v>
      </c>
      <c r="B176" s="165">
        <f t="shared" si="49"/>
        <v>45292</v>
      </c>
      <c r="C176" s="182">
        <f t="shared" ref="C176:D187" si="61">+C152</f>
        <v>45327</v>
      </c>
      <c r="D176" s="182">
        <f t="shared" si="61"/>
        <v>45348</v>
      </c>
      <c r="E176" s="192" t="s">
        <v>57</v>
      </c>
      <c r="F176" s="130">
        <v>9</v>
      </c>
      <c r="G176" s="167">
        <v>26</v>
      </c>
      <c r="H176" s="168">
        <f t="shared" si="50"/>
        <v>8.3058817739101354</v>
      </c>
      <c r="I176" s="168">
        <f t="shared" si="48"/>
        <v>6.4847882839410547</v>
      </c>
      <c r="J176" s="169">
        <f t="shared" si="51"/>
        <v>168.60449538246743</v>
      </c>
      <c r="K176" s="170">
        <f t="shared" si="45"/>
        <v>215.95292612166352</v>
      </c>
      <c r="L176" s="171">
        <f t="shared" si="59"/>
        <v>-47.34843073919609</v>
      </c>
      <c r="M176" s="172">
        <f t="shared" si="52"/>
        <v>-3.8035669452593988</v>
      </c>
      <c r="N176" s="173">
        <f t="shared" si="53"/>
        <v>-51.151997684455488</v>
      </c>
      <c r="O176" s="172">
        <f t="shared" si="54"/>
        <v>0</v>
      </c>
      <c r="P176" s="172">
        <f t="shared" si="55"/>
        <v>0</v>
      </c>
      <c r="Q176" s="172">
        <v>0</v>
      </c>
      <c r="R176" s="173">
        <f t="shared" si="56"/>
        <v>-51.151997684455488</v>
      </c>
    </row>
    <row r="177" spans="1:18" x14ac:dyDescent="0.25">
      <c r="A177" s="130">
        <v>2</v>
      </c>
      <c r="B177" s="165">
        <f t="shared" si="49"/>
        <v>45323</v>
      </c>
      <c r="C177" s="185">
        <f t="shared" si="61"/>
        <v>45356</v>
      </c>
      <c r="D177" s="185">
        <f t="shared" si="61"/>
        <v>45376</v>
      </c>
      <c r="E177" s="52" t="s">
        <v>57</v>
      </c>
      <c r="F177" s="130">
        <v>9</v>
      </c>
      <c r="G177" s="167">
        <v>19</v>
      </c>
      <c r="H177" s="168">
        <f t="shared" si="50"/>
        <v>8.3058817739101354</v>
      </c>
      <c r="I177" s="168">
        <f t="shared" si="48"/>
        <v>6.4847882839410547</v>
      </c>
      <c r="J177" s="169">
        <f t="shared" si="51"/>
        <v>123.21097739488003</v>
      </c>
      <c r="K177" s="170">
        <f t="shared" si="45"/>
        <v>157.81175370429258</v>
      </c>
      <c r="L177" s="171">
        <f t="shared" si="59"/>
        <v>-34.600776309412552</v>
      </c>
      <c r="M177" s="172">
        <f t="shared" si="52"/>
        <v>-2.7795296907664842</v>
      </c>
      <c r="N177" s="173">
        <f t="shared" si="53"/>
        <v>-37.380306000179033</v>
      </c>
      <c r="O177" s="172">
        <f t="shared" si="54"/>
        <v>0</v>
      </c>
      <c r="P177" s="172">
        <f t="shared" si="55"/>
        <v>0</v>
      </c>
      <c r="Q177" s="172">
        <v>0</v>
      </c>
      <c r="R177" s="173">
        <f t="shared" si="56"/>
        <v>-37.380306000179033</v>
      </c>
    </row>
    <row r="178" spans="1:18" x14ac:dyDescent="0.25">
      <c r="A178" s="130">
        <v>3</v>
      </c>
      <c r="B178" s="165">
        <f t="shared" si="49"/>
        <v>45352</v>
      </c>
      <c r="C178" s="185">
        <f t="shared" si="61"/>
        <v>45385</v>
      </c>
      <c r="D178" s="185">
        <f t="shared" si="61"/>
        <v>45406</v>
      </c>
      <c r="E178" s="52" t="s">
        <v>57</v>
      </c>
      <c r="F178" s="130">
        <v>9</v>
      </c>
      <c r="G178" s="167">
        <v>18</v>
      </c>
      <c r="H178" s="168">
        <f t="shared" si="50"/>
        <v>8.3058817739101354</v>
      </c>
      <c r="I178" s="168">
        <f t="shared" si="48"/>
        <v>6.4847882839410547</v>
      </c>
      <c r="J178" s="169">
        <f t="shared" si="51"/>
        <v>116.72618911093899</v>
      </c>
      <c r="K178" s="170">
        <f t="shared" si="45"/>
        <v>149.50587193038243</v>
      </c>
      <c r="L178" s="171">
        <f>+J178-K178</f>
        <v>-32.779682819443437</v>
      </c>
      <c r="M178" s="172">
        <f t="shared" si="52"/>
        <v>-2.6332386544103534</v>
      </c>
      <c r="N178" s="173">
        <f t="shared" si="53"/>
        <v>-35.412921473853793</v>
      </c>
      <c r="O178" s="172">
        <f t="shared" si="54"/>
        <v>0</v>
      </c>
      <c r="P178" s="172">
        <f t="shared" si="55"/>
        <v>0</v>
      </c>
      <c r="Q178" s="172">
        <v>0</v>
      </c>
      <c r="R178" s="173">
        <f t="shared" si="56"/>
        <v>-35.412921473853793</v>
      </c>
    </row>
    <row r="179" spans="1:18" x14ac:dyDescent="0.25">
      <c r="A179" s="94">
        <v>4</v>
      </c>
      <c r="B179" s="165">
        <f t="shared" si="49"/>
        <v>45383</v>
      </c>
      <c r="C179" s="185">
        <f t="shared" si="61"/>
        <v>45415</v>
      </c>
      <c r="D179" s="185">
        <f t="shared" si="61"/>
        <v>45436</v>
      </c>
      <c r="E179" s="52" t="s">
        <v>57</v>
      </c>
      <c r="F179" s="130">
        <v>9</v>
      </c>
      <c r="G179" s="167">
        <v>22</v>
      </c>
      <c r="H179" s="168">
        <f t="shared" si="50"/>
        <v>8.3058817739101354</v>
      </c>
      <c r="I179" s="168">
        <f t="shared" si="48"/>
        <v>6.4847882839410547</v>
      </c>
      <c r="J179" s="169">
        <f t="shared" si="51"/>
        <v>142.6653422467032</v>
      </c>
      <c r="K179" s="170">
        <f t="shared" si="45"/>
        <v>182.72939902602297</v>
      </c>
      <c r="L179" s="171">
        <f t="shared" ref="L179:L189" si="62">+J179-K179</f>
        <v>-40.06405677931977</v>
      </c>
      <c r="M179" s="172">
        <f t="shared" si="52"/>
        <v>-3.2184027998348759</v>
      </c>
      <c r="N179" s="173">
        <f t="shared" si="53"/>
        <v>-43.282459579154647</v>
      </c>
      <c r="O179" s="172">
        <f t="shared" si="54"/>
        <v>0</v>
      </c>
      <c r="P179" s="172">
        <f t="shared" si="55"/>
        <v>0</v>
      </c>
      <c r="Q179" s="172">
        <v>0</v>
      </c>
      <c r="R179" s="173">
        <f t="shared" si="56"/>
        <v>-43.282459579154647</v>
      </c>
    </row>
    <row r="180" spans="1:18" x14ac:dyDescent="0.25">
      <c r="A180" s="130">
        <v>5</v>
      </c>
      <c r="B180" s="165">
        <f t="shared" si="49"/>
        <v>45413</v>
      </c>
      <c r="C180" s="185">
        <f t="shared" si="61"/>
        <v>45448</v>
      </c>
      <c r="D180" s="185">
        <f t="shared" si="61"/>
        <v>45467</v>
      </c>
      <c r="E180" s="52" t="s">
        <v>57</v>
      </c>
      <c r="F180" s="130">
        <v>9</v>
      </c>
      <c r="G180" s="167">
        <v>31</v>
      </c>
      <c r="H180" s="168">
        <f t="shared" si="50"/>
        <v>8.3058817739101354</v>
      </c>
      <c r="I180" s="168">
        <f t="shared" ref="I180:I211" si="63">$J$3</f>
        <v>6.4847882839410547</v>
      </c>
      <c r="J180" s="169">
        <f t="shared" si="51"/>
        <v>201.02843680217271</v>
      </c>
      <c r="K180" s="170">
        <f t="shared" si="45"/>
        <v>257.4823349912142</v>
      </c>
      <c r="L180" s="171">
        <f t="shared" si="62"/>
        <v>-56.453898189041496</v>
      </c>
      <c r="M180" s="172">
        <f t="shared" si="52"/>
        <v>-4.5350221270400519</v>
      </c>
      <c r="N180" s="173">
        <f t="shared" si="53"/>
        <v>-60.988920316081547</v>
      </c>
      <c r="O180" s="172">
        <f t="shared" si="54"/>
        <v>0</v>
      </c>
      <c r="P180" s="172">
        <f t="shared" si="55"/>
        <v>0</v>
      </c>
      <c r="Q180" s="172">
        <v>0</v>
      </c>
      <c r="R180" s="173">
        <f t="shared" si="56"/>
        <v>-60.988920316081547</v>
      </c>
    </row>
    <row r="181" spans="1:18" x14ac:dyDescent="0.25">
      <c r="A181" s="130">
        <v>6</v>
      </c>
      <c r="B181" s="165">
        <f t="shared" si="49"/>
        <v>45444</v>
      </c>
      <c r="C181" s="185">
        <f t="shared" si="61"/>
        <v>45476</v>
      </c>
      <c r="D181" s="185">
        <f t="shared" si="61"/>
        <v>45497</v>
      </c>
      <c r="E181" s="52" t="s">
        <v>57</v>
      </c>
      <c r="F181" s="130">
        <v>9</v>
      </c>
      <c r="G181" s="167">
        <v>36</v>
      </c>
      <c r="H181" s="168">
        <f t="shared" si="50"/>
        <v>8.3058817739101354</v>
      </c>
      <c r="I181" s="168">
        <f t="shared" si="63"/>
        <v>6.4847882839410547</v>
      </c>
      <c r="J181" s="169">
        <f t="shared" si="51"/>
        <v>233.45237822187798</v>
      </c>
      <c r="K181" s="170">
        <f t="shared" si="45"/>
        <v>299.01174386076485</v>
      </c>
      <c r="L181" s="175">
        <f t="shared" si="62"/>
        <v>-65.559365638886874</v>
      </c>
      <c r="M181" s="172">
        <f t="shared" si="52"/>
        <v>-5.2664773088207069</v>
      </c>
      <c r="N181" s="173">
        <f t="shared" si="53"/>
        <v>-70.825842947707585</v>
      </c>
      <c r="O181" s="172">
        <f t="shared" si="54"/>
        <v>0</v>
      </c>
      <c r="P181" s="172">
        <f t="shared" si="55"/>
        <v>0</v>
      </c>
      <c r="Q181" s="172">
        <v>0</v>
      </c>
      <c r="R181" s="173">
        <f t="shared" si="56"/>
        <v>-70.825842947707585</v>
      </c>
    </row>
    <row r="182" spans="1:18" x14ac:dyDescent="0.25">
      <c r="A182" s="94">
        <v>7</v>
      </c>
      <c r="B182" s="165">
        <f t="shared" si="49"/>
        <v>45474</v>
      </c>
      <c r="C182" s="185">
        <f t="shared" si="61"/>
        <v>45509</v>
      </c>
      <c r="D182" s="185">
        <f t="shared" si="61"/>
        <v>45530</v>
      </c>
      <c r="E182" s="52" t="s">
        <v>57</v>
      </c>
      <c r="F182" s="130">
        <v>9</v>
      </c>
      <c r="G182" s="167">
        <v>38</v>
      </c>
      <c r="H182" s="168">
        <f t="shared" si="50"/>
        <v>8.3058817739101354</v>
      </c>
      <c r="I182" s="168">
        <f t="shared" si="63"/>
        <v>6.4847882839410547</v>
      </c>
      <c r="J182" s="169">
        <f t="shared" si="51"/>
        <v>246.42195478976006</v>
      </c>
      <c r="K182" s="176">
        <f t="shared" si="45"/>
        <v>315.62350740858517</v>
      </c>
      <c r="L182" s="175">
        <f t="shared" si="62"/>
        <v>-69.201552618825104</v>
      </c>
      <c r="M182" s="172">
        <f t="shared" si="52"/>
        <v>-5.5590593815329683</v>
      </c>
      <c r="N182" s="173">
        <f t="shared" si="53"/>
        <v>-74.760612000358066</v>
      </c>
      <c r="O182" s="172">
        <f t="shared" si="54"/>
        <v>0</v>
      </c>
      <c r="P182" s="172">
        <f t="shared" si="55"/>
        <v>0</v>
      </c>
      <c r="Q182" s="172">
        <v>0</v>
      </c>
      <c r="R182" s="173">
        <f t="shared" si="56"/>
        <v>-74.760612000358066</v>
      </c>
    </row>
    <row r="183" spans="1:18" x14ac:dyDescent="0.25">
      <c r="A183" s="130">
        <v>8</v>
      </c>
      <c r="B183" s="165">
        <f t="shared" si="49"/>
        <v>45505</v>
      </c>
      <c r="C183" s="185">
        <f t="shared" si="61"/>
        <v>45539</v>
      </c>
      <c r="D183" s="185">
        <f t="shared" si="61"/>
        <v>45559</v>
      </c>
      <c r="E183" s="52" t="s">
        <v>57</v>
      </c>
      <c r="F183" s="130">
        <v>9</v>
      </c>
      <c r="G183" s="167">
        <v>41</v>
      </c>
      <c r="H183" s="168">
        <f t="shared" si="50"/>
        <v>8.3058817739101354</v>
      </c>
      <c r="I183" s="168">
        <f t="shared" si="63"/>
        <v>6.4847882839410547</v>
      </c>
      <c r="J183" s="169">
        <f t="shared" si="51"/>
        <v>265.87631964158322</v>
      </c>
      <c r="K183" s="176">
        <f t="shared" si="45"/>
        <v>340.54115273031556</v>
      </c>
      <c r="L183" s="175">
        <f t="shared" si="62"/>
        <v>-74.664833088732337</v>
      </c>
      <c r="M183" s="172">
        <f t="shared" si="52"/>
        <v>-5.99793249060136</v>
      </c>
      <c r="N183" s="173">
        <f t="shared" si="53"/>
        <v>-80.662765579333694</v>
      </c>
      <c r="O183" s="172">
        <f t="shared" si="54"/>
        <v>0</v>
      </c>
      <c r="P183" s="172">
        <f t="shared" si="55"/>
        <v>0</v>
      </c>
      <c r="Q183" s="172">
        <v>0</v>
      </c>
      <c r="R183" s="173">
        <f t="shared" si="56"/>
        <v>-80.662765579333694</v>
      </c>
    </row>
    <row r="184" spans="1:18" x14ac:dyDescent="0.25">
      <c r="A184" s="130">
        <v>9</v>
      </c>
      <c r="B184" s="165">
        <f t="shared" si="49"/>
        <v>45536</v>
      </c>
      <c r="C184" s="185">
        <f t="shared" si="61"/>
        <v>45568</v>
      </c>
      <c r="D184" s="185">
        <f t="shared" si="61"/>
        <v>45589</v>
      </c>
      <c r="E184" s="52" t="s">
        <v>57</v>
      </c>
      <c r="F184" s="130">
        <v>9</v>
      </c>
      <c r="G184" s="167">
        <v>29</v>
      </c>
      <c r="H184" s="168">
        <f t="shared" si="50"/>
        <v>8.3058817739101354</v>
      </c>
      <c r="I184" s="168">
        <f t="shared" si="63"/>
        <v>6.4847882839410547</v>
      </c>
      <c r="J184" s="169">
        <f t="shared" si="51"/>
        <v>188.05886023429059</v>
      </c>
      <c r="K184" s="176">
        <f t="shared" si="45"/>
        <v>240.87057144339391</v>
      </c>
      <c r="L184" s="175">
        <f t="shared" si="62"/>
        <v>-52.811711209103322</v>
      </c>
      <c r="M184" s="172">
        <f t="shared" si="52"/>
        <v>-4.2424400543277905</v>
      </c>
      <c r="N184" s="173">
        <f t="shared" si="53"/>
        <v>-57.054151263431109</v>
      </c>
      <c r="O184" s="172">
        <f t="shared" si="54"/>
        <v>0</v>
      </c>
      <c r="P184" s="172">
        <f t="shared" si="55"/>
        <v>0</v>
      </c>
      <c r="Q184" s="172">
        <v>0</v>
      </c>
      <c r="R184" s="173">
        <f t="shared" si="56"/>
        <v>-57.054151263431109</v>
      </c>
    </row>
    <row r="185" spans="1:18" x14ac:dyDescent="0.25">
      <c r="A185" s="94">
        <v>10</v>
      </c>
      <c r="B185" s="165">
        <f t="shared" si="49"/>
        <v>45566</v>
      </c>
      <c r="C185" s="185">
        <f t="shared" si="61"/>
        <v>45601</v>
      </c>
      <c r="D185" s="185">
        <f t="shared" si="61"/>
        <v>45621</v>
      </c>
      <c r="E185" s="52" t="s">
        <v>57</v>
      </c>
      <c r="F185" s="130">
        <v>9</v>
      </c>
      <c r="G185" s="167">
        <v>26</v>
      </c>
      <c r="H185" s="168">
        <f t="shared" si="50"/>
        <v>8.3058817739101354</v>
      </c>
      <c r="I185" s="168">
        <f t="shared" si="63"/>
        <v>6.4847882839410547</v>
      </c>
      <c r="J185" s="169">
        <f t="shared" si="51"/>
        <v>168.60449538246743</v>
      </c>
      <c r="K185" s="176">
        <f t="shared" si="45"/>
        <v>215.95292612166352</v>
      </c>
      <c r="L185" s="175">
        <f t="shared" si="62"/>
        <v>-47.34843073919609</v>
      </c>
      <c r="M185" s="172">
        <f t="shared" si="52"/>
        <v>-3.8035669452593988</v>
      </c>
      <c r="N185" s="173">
        <f t="shared" si="53"/>
        <v>-51.151997684455488</v>
      </c>
      <c r="O185" s="172">
        <f t="shared" si="54"/>
        <v>0</v>
      </c>
      <c r="P185" s="172">
        <f t="shared" si="55"/>
        <v>0</v>
      </c>
      <c r="Q185" s="172">
        <v>0</v>
      </c>
      <c r="R185" s="173">
        <f t="shared" si="56"/>
        <v>-51.151997684455488</v>
      </c>
    </row>
    <row r="186" spans="1:18" x14ac:dyDescent="0.25">
      <c r="A186" s="130">
        <v>11</v>
      </c>
      <c r="B186" s="165">
        <f t="shared" si="49"/>
        <v>45597</v>
      </c>
      <c r="C186" s="185">
        <f t="shared" si="61"/>
        <v>45630</v>
      </c>
      <c r="D186" s="185">
        <f t="shared" si="61"/>
        <v>45650</v>
      </c>
      <c r="E186" s="52" t="s">
        <v>57</v>
      </c>
      <c r="F186" s="130">
        <v>9</v>
      </c>
      <c r="G186" s="167">
        <v>22</v>
      </c>
      <c r="H186" s="168">
        <f t="shared" si="50"/>
        <v>8.3058817739101354</v>
      </c>
      <c r="I186" s="168">
        <f t="shared" si="63"/>
        <v>6.4847882839410547</v>
      </c>
      <c r="J186" s="169">
        <f t="shared" si="51"/>
        <v>142.6653422467032</v>
      </c>
      <c r="K186" s="176">
        <f t="shared" si="45"/>
        <v>182.72939902602297</v>
      </c>
      <c r="L186" s="175">
        <f t="shared" si="62"/>
        <v>-40.06405677931977</v>
      </c>
      <c r="M186" s="172">
        <f t="shared" si="52"/>
        <v>-3.2184027998348759</v>
      </c>
      <c r="N186" s="173">
        <f t="shared" si="53"/>
        <v>-43.282459579154647</v>
      </c>
      <c r="O186" s="172">
        <f t="shared" si="54"/>
        <v>0</v>
      </c>
      <c r="P186" s="172">
        <f t="shared" si="55"/>
        <v>0</v>
      </c>
      <c r="Q186" s="172">
        <v>0</v>
      </c>
      <c r="R186" s="173">
        <f t="shared" si="56"/>
        <v>-43.282459579154647</v>
      </c>
    </row>
    <row r="187" spans="1:18" s="189" customFormat="1" x14ac:dyDescent="0.25">
      <c r="A187" s="130">
        <v>12</v>
      </c>
      <c r="B187" s="187">
        <f t="shared" si="49"/>
        <v>45627</v>
      </c>
      <c r="C187" s="185">
        <f t="shared" si="61"/>
        <v>45660</v>
      </c>
      <c r="D187" s="185">
        <f t="shared" si="61"/>
        <v>45681</v>
      </c>
      <c r="E187" s="188" t="s">
        <v>57</v>
      </c>
      <c r="F187" s="141">
        <v>9</v>
      </c>
      <c r="G187" s="167">
        <v>18</v>
      </c>
      <c r="H187" s="177">
        <f t="shared" si="50"/>
        <v>8.3058817739101354</v>
      </c>
      <c r="I187" s="177">
        <f t="shared" si="63"/>
        <v>6.4847882839410547</v>
      </c>
      <c r="J187" s="178">
        <f t="shared" si="51"/>
        <v>116.72618911093899</v>
      </c>
      <c r="K187" s="179">
        <f t="shared" si="45"/>
        <v>149.50587193038243</v>
      </c>
      <c r="L187" s="180">
        <f t="shared" si="62"/>
        <v>-32.779682819443437</v>
      </c>
      <c r="M187" s="172">
        <f t="shared" si="52"/>
        <v>-2.6332386544103534</v>
      </c>
      <c r="N187" s="173">
        <f t="shared" si="53"/>
        <v>-35.412921473853793</v>
      </c>
      <c r="O187" s="172">
        <f t="shared" si="54"/>
        <v>0</v>
      </c>
      <c r="P187" s="172">
        <f t="shared" si="55"/>
        <v>0</v>
      </c>
      <c r="Q187" s="172">
        <v>0</v>
      </c>
      <c r="R187" s="173">
        <f t="shared" si="56"/>
        <v>-35.412921473853793</v>
      </c>
    </row>
    <row r="188" spans="1:18" x14ac:dyDescent="0.25">
      <c r="A188" s="94">
        <v>1</v>
      </c>
      <c r="B188" s="165">
        <f t="shared" si="49"/>
        <v>45292</v>
      </c>
      <c r="C188" s="182">
        <f t="shared" ref="C188:D211" si="64">+C176</f>
        <v>45327</v>
      </c>
      <c r="D188" s="182">
        <f t="shared" si="64"/>
        <v>45348</v>
      </c>
      <c r="E188" s="166" t="s">
        <v>58</v>
      </c>
      <c r="F188" s="94">
        <v>9</v>
      </c>
      <c r="G188" s="167">
        <v>34</v>
      </c>
      <c r="H188" s="168">
        <f t="shared" si="50"/>
        <v>8.3058817739101354</v>
      </c>
      <c r="I188" s="168">
        <f t="shared" si="63"/>
        <v>6.4847882839410547</v>
      </c>
      <c r="J188" s="169">
        <f t="shared" si="51"/>
        <v>220.48280165399586</v>
      </c>
      <c r="K188" s="170">
        <f t="shared" si="45"/>
        <v>282.39998031294459</v>
      </c>
      <c r="L188" s="171">
        <f t="shared" si="62"/>
        <v>-61.917178658948728</v>
      </c>
      <c r="M188" s="172">
        <f t="shared" si="52"/>
        <v>-4.9738952361084454</v>
      </c>
      <c r="N188" s="173">
        <f t="shared" si="53"/>
        <v>-66.891073895057175</v>
      </c>
      <c r="O188" s="172">
        <f t="shared" si="54"/>
        <v>0</v>
      </c>
      <c r="P188" s="172">
        <f t="shared" si="55"/>
        <v>0</v>
      </c>
      <c r="Q188" s="172">
        <v>0</v>
      </c>
      <c r="R188" s="173">
        <f t="shared" si="56"/>
        <v>-66.891073895057175</v>
      </c>
    </row>
    <row r="189" spans="1:18" x14ac:dyDescent="0.25">
      <c r="A189" s="130">
        <v>2</v>
      </c>
      <c r="B189" s="165">
        <f t="shared" si="49"/>
        <v>45323</v>
      </c>
      <c r="C189" s="185">
        <f t="shared" si="64"/>
        <v>45356</v>
      </c>
      <c r="D189" s="185">
        <f t="shared" si="64"/>
        <v>45376</v>
      </c>
      <c r="E189" s="174" t="s">
        <v>58</v>
      </c>
      <c r="F189" s="130">
        <v>9</v>
      </c>
      <c r="G189" s="167">
        <v>32</v>
      </c>
      <c r="H189" s="168">
        <f t="shared" si="50"/>
        <v>8.3058817739101354</v>
      </c>
      <c r="I189" s="168">
        <f t="shared" si="63"/>
        <v>6.4847882839410547</v>
      </c>
      <c r="J189" s="169">
        <f t="shared" si="51"/>
        <v>207.51322508611375</v>
      </c>
      <c r="K189" s="170">
        <f t="shared" si="45"/>
        <v>265.78821676512433</v>
      </c>
      <c r="L189" s="171">
        <f t="shared" si="62"/>
        <v>-58.274991679010583</v>
      </c>
      <c r="M189" s="172">
        <f t="shared" si="52"/>
        <v>-4.6813131633961831</v>
      </c>
      <c r="N189" s="173">
        <f t="shared" si="53"/>
        <v>-62.956304842406766</v>
      </c>
      <c r="O189" s="172">
        <f t="shared" si="54"/>
        <v>0</v>
      </c>
      <c r="P189" s="172">
        <f t="shared" si="55"/>
        <v>0</v>
      </c>
      <c r="Q189" s="172">
        <v>0</v>
      </c>
      <c r="R189" s="173">
        <f t="shared" si="56"/>
        <v>-62.956304842406766</v>
      </c>
    </row>
    <row r="190" spans="1:18" x14ac:dyDescent="0.25">
      <c r="A190" s="130">
        <v>3</v>
      </c>
      <c r="B190" s="165">
        <f t="shared" si="49"/>
        <v>45352</v>
      </c>
      <c r="C190" s="185">
        <f t="shared" si="64"/>
        <v>45385</v>
      </c>
      <c r="D190" s="185">
        <f t="shared" si="64"/>
        <v>45406</v>
      </c>
      <c r="E190" s="174" t="s">
        <v>58</v>
      </c>
      <c r="F190" s="130">
        <v>9</v>
      </c>
      <c r="G190" s="167">
        <v>32</v>
      </c>
      <c r="H190" s="168">
        <f t="shared" si="50"/>
        <v>8.3058817739101354</v>
      </c>
      <c r="I190" s="168">
        <f t="shared" si="63"/>
        <v>6.4847882839410547</v>
      </c>
      <c r="J190" s="169">
        <f t="shared" si="51"/>
        <v>207.51322508611375</v>
      </c>
      <c r="K190" s="170">
        <f t="shared" si="45"/>
        <v>265.78821676512433</v>
      </c>
      <c r="L190" s="171">
        <f>+J190-K190</f>
        <v>-58.274991679010583</v>
      </c>
      <c r="M190" s="172">
        <f t="shared" si="52"/>
        <v>-4.6813131633961831</v>
      </c>
      <c r="N190" s="173">
        <f t="shared" si="53"/>
        <v>-62.956304842406766</v>
      </c>
      <c r="O190" s="172">
        <f t="shared" si="54"/>
        <v>0</v>
      </c>
      <c r="P190" s="172">
        <f t="shared" si="55"/>
        <v>0</v>
      </c>
      <c r="Q190" s="172">
        <v>0</v>
      </c>
      <c r="R190" s="173">
        <f t="shared" si="56"/>
        <v>-62.956304842406766</v>
      </c>
    </row>
    <row r="191" spans="1:18" x14ac:dyDescent="0.25">
      <c r="A191" s="94">
        <v>4</v>
      </c>
      <c r="B191" s="165">
        <f t="shared" si="49"/>
        <v>45383</v>
      </c>
      <c r="C191" s="185">
        <f t="shared" si="64"/>
        <v>45415</v>
      </c>
      <c r="D191" s="185">
        <f t="shared" si="64"/>
        <v>45436</v>
      </c>
      <c r="E191" s="52" t="s">
        <v>58</v>
      </c>
      <c r="F191" s="130">
        <v>9</v>
      </c>
      <c r="G191" s="167">
        <v>33</v>
      </c>
      <c r="H191" s="168">
        <f t="shared" si="50"/>
        <v>8.3058817739101354</v>
      </c>
      <c r="I191" s="168">
        <f t="shared" si="63"/>
        <v>6.4847882839410547</v>
      </c>
      <c r="J191" s="169">
        <f t="shared" si="51"/>
        <v>213.99801337005479</v>
      </c>
      <c r="K191" s="170">
        <f t="shared" si="45"/>
        <v>274.09409853903446</v>
      </c>
      <c r="L191" s="171">
        <f t="shared" ref="L191:L201" si="65">+J191-K191</f>
        <v>-60.09608516897967</v>
      </c>
      <c r="M191" s="172">
        <f t="shared" si="52"/>
        <v>-4.8276041997523143</v>
      </c>
      <c r="N191" s="173">
        <f t="shared" si="53"/>
        <v>-64.923689368731985</v>
      </c>
      <c r="O191" s="172">
        <f t="shared" si="54"/>
        <v>0</v>
      </c>
      <c r="P191" s="172">
        <f t="shared" si="55"/>
        <v>0</v>
      </c>
      <c r="Q191" s="172">
        <v>0</v>
      </c>
      <c r="R191" s="173">
        <f t="shared" si="56"/>
        <v>-64.923689368731985</v>
      </c>
    </row>
    <row r="192" spans="1:18" x14ac:dyDescent="0.25">
      <c r="A192" s="130">
        <v>5</v>
      </c>
      <c r="B192" s="165">
        <f t="shared" si="49"/>
        <v>45413</v>
      </c>
      <c r="C192" s="185">
        <f t="shared" si="64"/>
        <v>45448</v>
      </c>
      <c r="D192" s="185">
        <f t="shared" si="64"/>
        <v>45467</v>
      </c>
      <c r="E192" s="52" t="s">
        <v>58</v>
      </c>
      <c r="F192" s="130">
        <v>9</v>
      </c>
      <c r="G192" s="167">
        <v>40</v>
      </c>
      <c r="H192" s="168">
        <f t="shared" si="50"/>
        <v>8.3058817739101354</v>
      </c>
      <c r="I192" s="168">
        <f t="shared" si="63"/>
        <v>6.4847882839410547</v>
      </c>
      <c r="J192" s="169">
        <f t="shared" si="51"/>
        <v>259.39153135764218</v>
      </c>
      <c r="K192" s="170">
        <f t="shared" si="45"/>
        <v>332.23527095640543</v>
      </c>
      <c r="L192" s="171">
        <f t="shared" si="65"/>
        <v>-72.84373959876325</v>
      </c>
      <c r="M192" s="172">
        <f t="shared" si="52"/>
        <v>-5.8516414542452297</v>
      </c>
      <c r="N192" s="173">
        <f t="shared" si="53"/>
        <v>-78.695381053008475</v>
      </c>
      <c r="O192" s="172">
        <f t="shared" si="54"/>
        <v>0</v>
      </c>
      <c r="P192" s="172">
        <f t="shared" si="55"/>
        <v>0</v>
      </c>
      <c r="Q192" s="172">
        <v>0</v>
      </c>
      <c r="R192" s="173">
        <f t="shared" si="56"/>
        <v>-78.695381053008475</v>
      </c>
    </row>
    <row r="193" spans="1:18" x14ac:dyDescent="0.25">
      <c r="A193" s="130">
        <v>6</v>
      </c>
      <c r="B193" s="165">
        <f t="shared" si="49"/>
        <v>45444</v>
      </c>
      <c r="C193" s="185">
        <f t="shared" si="64"/>
        <v>45476</v>
      </c>
      <c r="D193" s="185">
        <f t="shared" si="64"/>
        <v>45497</v>
      </c>
      <c r="E193" s="52" t="s">
        <v>58</v>
      </c>
      <c r="F193" s="130">
        <v>9</v>
      </c>
      <c r="G193" s="167">
        <v>47</v>
      </c>
      <c r="H193" s="168">
        <f t="shared" si="50"/>
        <v>8.3058817739101354</v>
      </c>
      <c r="I193" s="168">
        <f t="shared" si="63"/>
        <v>6.4847882839410547</v>
      </c>
      <c r="J193" s="169">
        <f t="shared" si="51"/>
        <v>304.7850493452296</v>
      </c>
      <c r="K193" s="170">
        <f t="shared" si="45"/>
        <v>390.37644337377634</v>
      </c>
      <c r="L193" s="175">
        <f t="shared" si="65"/>
        <v>-85.591394028546745</v>
      </c>
      <c r="M193" s="172">
        <f t="shared" si="52"/>
        <v>-6.8756787087381444</v>
      </c>
      <c r="N193" s="173">
        <f t="shared" si="53"/>
        <v>-92.467072737284894</v>
      </c>
      <c r="O193" s="172">
        <f t="shared" si="54"/>
        <v>0</v>
      </c>
      <c r="P193" s="172">
        <f t="shared" si="55"/>
        <v>0</v>
      </c>
      <c r="Q193" s="172">
        <v>0</v>
      </c>
      <c r="R193" s="173">
        <f t="shared" si="56"/>
        <v>-92.467072737284894</v>
      </c>
    </row>
    <row r="194" spans="1:18" x14ac:dyDescent="0.25">
      <c r="A194" s="94">
        <v>7</v>
      </c>
      <c r="B194" s="165">
        <f t="shared" si="49"/>
        <v>45474</v>
      </c>
      <c r="C194" s="185">
        <f t="shared" si="64"/>
        <v>45509</v>
      </c>
      <c r="D194" s="185">
        <f t="shared" si="64"/>
        <v>45530</v>
      </c>
      <c r="E194" s="52" t="s">
        <v>58</v>
      </c>
      <c r="F194" s="130">
        <v>9</v>
      </c>
      <c r="G194" s="167">
        <v>47</v>
      </c>
      <c r="H194" s="168">
        <f t="shared" si="50"/>
        <v>8.3058817739101354</v>
      </c>
      <c r="I194" s="168">
        <f t="shared" si="63"/>
        <v>6.4847882839410547</v>
      </c>
      <c r="J194" s="169">
        <f t="shared" si="51"/>
        <v>304.7850493452296</v>
      </c>
      <c r="K194" s="176">
        <f t="shared" si="45"/>
        <v>390.37644337377634</v>
      </c>
      <c r="L194" s="175">
        <f t="shared" si="65"/>
        <v>-85.591394028546745</v>
      </c>
      <c r="M194" s="172">
        <f t="shared" si="52"/>
        <v>-6.8756787087381444</v>
      </c>
      <c r="N194" s="173">
        <f t="shared" si="53"/>
        <v>-92.467072737284894</v>
      </c>
      <c r="O194" s="172">
        <f t="shared" si="54"/>
        <v>0</v>
      </c>
      <c r="P194" s="172">
        <f t="shared" si="55"/>
        <v>0</v>
      </c>
      <c r="Q194" s="172">
        <v>0</v>
      </c>
      <c r="R194" s="173">
        <f t="shared" si="56"/>
        <v>-92.467072737284894</v>
      </c>
    </row>
    <row r="195" spans="1:18" x14ac:dyDescent="0.25">
      <c r="A195" s="130">
        <v>8</v>
      </c>
      <c r="B195" s="165">
        <f t="shared" si="49"/>
        <v>45505</v>
      </c>
      <c r="C195" s="185">
        <f t="shared" si="64"/>
        <v>45539</v>
      </c>
      <c r="D195" s="185">
        <f t="shared" si="64"/>
        <v>45559</v>
      </c>
      <c r="E195" s="52" t="s">
        <v>58</v>
      </c>
      <c r="F195" s="130">
        <v>9</v>
      </c>
      <c r="G195" s="167">
        <v>51</v>
      </c>
      <c r="H195" s="168">
        <f t="shared" si="50"/>
        <v>8.3058817739101354</v>
      </c>
      <c r="I195" s="168">
        <f t="shared" si="63"/>
        <v>6.4847882839410547</v>
      </c>
      <c r="J195" s="169">
        <f t="shared" si="51"/>
        <v>330.72420248099377</v>
      </c>
      <c r="K195" s="176">
        <f t="shared" si="45"/>
        <v>423.59997046941692</v>
      </c>
      <c r="L195" s="175">
        <f t="shared" si="65"/>
        <v>-92.875767988423149</v>
      </c>
      <c r="M195" s="172">
        <f t="shared" si="52"/>
        <v>-7.4608428541626663</v>
      </c>
      <c r="N195" s="173">
        <f t="shared" si="53"/>
        <v>-100.33661084258581</v>
      </c>
      <c r="O195" s="172">
        <f t="shared" si="54"/>
        <v>0</v>
      </c>
      <c r="P195" s="172">
        <f t="shared" si="55"/>
        <v>0</v>
      </c>
      <c r="Q195" s="172">
        <v>0</v>
      </c>
      <c r="R195" s="173">
        <f t="shared" si="56"/>
        <v>-100.33661084258581</v>
      </c>
    </row>
    <row r="196" spans="1:18" x14ac:dyDescent="0.25">
      <c r="A196" s="130">
        <v>9</v>
      </c>
      <c r="B196" s="165">
        <f t="shared" si="49"/>
        <v>45536</v>
      </c>
      <c r="C196" s="185">
        <f t="shared" si="64"/>
        <v>45568</v>
      </c>
      <c r="D196" s="185">
        <f t="shared" si="64"/>
        <v>45589</v>
      </c>
      <c r="E196" s="52" t="s">
        <v>58</v>
      </c>
      <c r="F196" s="130">
        <v>9</v>
      </c>
      <c r="G196" s="167">
        <v>43</v>
      </c>
      <c r="H196" s="168">
        <f t="shared" si="50"/>
        <v>8.3058817739101354</v>
      </c>
      <c r="I196" s="168">
        <f t="shared" si="63"/>
        <v>6.4847882839410547</v>
      </c>
      <c r="J196" s="169">
        <f t="shared" si="51"/>
        <v>278.84589620946537</v>
      </c>
      <c r="K196" s="176">
        <f t="shared" si="45"/>
        <v>357.15291627813582</v>
      </c>
      <c r="L196" s="175">
        <f t="shared" si="65"/>
        <v>-78.307020068670454</v>
      </c>
      <c r="M196" s="172">
        <f t="shared" si="52"/>
        <v>-6.2905145633136215</v>
      </c>
      <c r="N196" s="173">
        <f t="shared" si="53"/>
        <v>-84.597534631984075</v>
      </c>
      <c r="O196" s="172">
        <f t="shared" si="54"/>
        <v>0</v>
      </c>
      <c r="P196" s="172">
        <f t="shared" si="55"/>
        <v>0</v>
      </c>
      <c r="Q196" s="172">
        <v>0</v>
      </c>
      <c r="R196" s="173">
        <f t="shared" si="56"/>
        <v>-84.597534631984075</v>
      </c>
    </row>
    <row r="197" spans="1:18" x14ac:dyDescent="0.25">
      <c r="A197" s="94">
        <v>10</v>
      </c>
      <c r="B197" s="165">
        <f t="shared" si="49"/>
        <v>45566</v>
      </c>
      <c r="C197" s="185">
        <f t="shared" si="64"/>
        <v>45601</v>
      </c>
      <c r="D197" s="185">
        <f t="shared" si="64"/>
        <v>45621</v>
      </c>
      <c r="E197" s="52" t="s">
        <v>58</v>
      </c>
      <c r="F197" s="130">
        <v>9</v>
      </c>
      <c r="G197" s="167">
        <v>37</v>
      </c>
      <c r="H197" s="168">
        <f t="shared" si="50"/>
        <v>8.3058817739101354</v>
      </c>
      <c r="I197" s="168">
        <f t="shared" si="63"/>
        <v>6.4847882839410547</v>
      </c>
      <c r="J197" s="169">
        <f t="shared" si="51"/>
        <v>239.93716650581902</v>
      </c>
      <c r="K197" s="176">
        <f t="shared" si="45"/>
        <v>307.31762563467498</v>
      </c>
      <c r="L197" s="175">
        <f t="shared" si="65"/>
        <v>-67.380459128855961</v>
      </c>
      <c r="M197" s="172">
        <f t="shared" si="52"/>
        <v>-5.4127683451768371</v>
      </c>
      <c r="N197" s="173">
        <f t="shared" si="53"/>
        <v>-72.793227474032804</v>
      </c>
      <c r="O197" s="172">
        <f t="shared" si="54"/>
        <v>0</v>
      </c>
      <c r="P197" s="172">
        <f t="shared" si="55"/>
        <v>0</v>
      </c>
      <c r="Q197" s="172">
        <v>0</v>
      </c>
      <c r="R197" s="173">
        <f t="shared" si="56"/>
        <v>-72.793227474032804</v>
      </c>
    </row>
    <row r="198" spans="1:18" x14ac:dyDescent="0.25">
      <c r="A198" s="130">
        <v>11</v>
      </c>
      <c r="B198" s="165">
        <f t="shared" si="49"/>
        <v>45597</v>
      </c>
      <c r="C198" s="185">
        <f t="shared" si="64"/>
        <v>45630</v>
      </c>
      <c r="D198" s="185">
        <f t="shared" si="64"/>
        <v>45650</v>
      </c>
      <c r="E198" s="52" t="s">
        <v>58</v>
      </c>
      <c r="F198" s="130">
        <v>9</v>
      </c>
      <c r="G198" s="167">
        <v>34</v>
      </c>
      <c r="H198" s="168">
        <f t="shared" si="50"/>
        <v>8.3058817739101354</v>
      </c>
      <c r="I198" s="168">
        <f t="shared" si="63"/>
        <v>6.4847882839410547</v>
      </c>
      <c r="J198" s="169">
        <f t="shared" si="51"/>
        <v>220.48280165399586</v>
      </c>
      <c r="K198" s="176">
        <f t="shared" ref="K198:K209" si="66">+$G198*H198</f>
        <v>282.39998031294459</v>
      </c>
      <c r="L198" s="175">
        <f t="shared" si="65"/>
        <v>-61.917178658948728</v>
      </c>
      <c r="M198" s="172">
        <f t="shared" si="52"/>
        <v>-4.9738952361084454</v>
      </c>
      <c r="N198" s="173">
        <f t="shared" si="53"/>
        <v>-66.891073895057175</v>
      </c>
      <c r="O198" s="172">
        <f t="shared" si="54"/>
        <v>0</v>
      </c>
      <c r="P198" s="172">
        <f t="shared" si="55"/>
        <v>0</v>
      </c>
      <c r="Q198" s="172">
        <v>0</v>
      </c>
      <c r="R198" s="173">
        <f t="shared" si="56"/>
        <v>-66.891073895057175</v>
      </c>
    </row>
    <row r="199" spans="1:18" s="189" customFormat="1" x14ac:dyDescent="0.25">
      <c r="A199" s="130">
        <v>12</v>
      </c>
      <c r="B199" s="187">
        <f t="shared" si="49"/>
        <v>45627</v>
      </c>
      <c r="C199" s="185">
        <f t="shared" si="64"/>
        <v>45660</v>
      </c>
      <c r="D199" s="185">
        <f t="shared" si="64"/>
        <v>45681</v>
      </c>
      <c r="E199" s="188" t="s">
        <v>58</v>
      </c>
      <c r="F199" s="141">
        <v>9</v>
      </c>
      <c r="G199" s="167">
        <v>32</v>
      </c>
      <c r="H199" s="177">
        <f t="shared" si="50"/>
        <v>8.3058817739101354</v>
      </c>
      <c r="I199" s="177">
        <f t="shared" si="63"/>
        <v>6.4847882839410547</v>
      </c>
      <c r="J199" s="178">
        <f t="shared" si="51"/>
        <v>207.51322508611375</v>
      </c>
      <c r="K199" s="179">
        <f t="shared" si="66"/>
        <v>265.78821676512433</v>
      </c>
      <c r="L199" s="180">
        <f t="shared" si="65"/>
        <v>-58.274991679010583</v>
      </c>
      <c r="M199" s="172">
        <f t="shared" si="52"/>
        <v>-4.6813131633961831</v>
      </c>
      <c r="N199" s="173">
        <f t="shared" si="53"/>
        <v>-62.956304842406766</v>
      </c>
      <c r="O199" s="172">
        <f t="shared" si="54"/>
        <v>0</v>
      </c>
      <c r="P199" s="172">
        <f t="shared" si="55"/>
        <v>0</v>
      </c>
      <c r="Q199" s="172">
        <v>0</v>
      </c>
      <c r="R199" s="173">
        <f t="shared" si="56"/>
        <v>-62.956304842406766</v>
      </c>
    </row>
    <row r="200" spans="1:18" x14ac:dyDescent="0.25">
      <c r="A200" s="94">
        <v>1</v>
      </c>
      <c r="B200" s="165">
        <f t="shared" si="49"/>
        <v>45292</v>
      </c>
      <c r="C200" s="182">
        <f t="shared" si="64"/>
        <v>45327</v>
      </c>
      <c r="D200" s="182">
        <f t="shared" si="64"/>
        <v>45348</v>
      </c>
      <c r="E200" s="166" t="s">
        <v>17</v>
      </c>
      <c r="F200" s="94">
        <v>9</v>
      </c>
      <c r="G200" s="167">
        <v>104</v>
      </c>
      <c r="H200" s="168">
        <f t="shared" si="50"/>
        <v>8.3058817739101354</v>
      </c>
      <c r="I200" s="168">
        <f t="shared" si="63"/>
        <v>6.4847882839410547</v>
      </c>
      <c r="J200" s="169">
        <f t="shared" si="51"/>
        <v>674.41798152986973</v>
      </c>
      <c r="K200" s="170">
        <f t="shared" si="66"/>
        <v>863.81170448665409</v>
      </c>
      <c r="L200" s="171">
        <f t="shared" si="65"/>
        <v>-189.39372295678436</v>
      </c>
      <c r="M200" s="172">
        <f t="shared" si="52"/>
        <v>-15.214267781037595</v>
      </c>
      <c r="N200" s="173">
        <f t="shared" si="53"/>
        <v>-204.60799073782195</v>
      </c>
      <c r="O200" s="172">
        <f t="shared" si="54"/>
        <v>0</v>
      </c>
      <c r="P200" s="172">
        <f t="shared" si="55"/>
        <v>0</v>
      </c>
      <c r="Q200" s="172">
        <v>0</v>
      </c>
      <c r="R200" s="173">
        <f t="shared" si="56"/>
        <v>-204.60799073782195</v>
      </c>
    </row>
    <row r="201" spans="1:18" x14ac:dyDescent="0.25">
      <c r="A201" s="130">
        <v>2</v>
      </c>
      <c r="B201" s="165">
        <f t="shared" si="49"/>
        <v>45323</v>
      </c>
      <c r="C201" s="185">
        <f t="shared" si="64"/>
        <v>45356</v>
      </c>
      <c r="D201" s="185">
        <f t="shared" si="64"/>
        <v>45376</v>
      </c>
      <c r="E201" s="174" t="s">
        <v>17</v>
      </c>
      <c r="F201" s="130">
        <v>9</v>
      </c>
      <c r="G201" s="167">
        <v>99</v>
      </c>
      <c r="H201" s="168">
        <f t="shared" si="50"/>
        <v>8.3058817739101354</v>
      </c>
      <c r="I201" s="168">
        <f t="shared" si="63"/>
        <v>6.4847882839410547</v>
      </c>
      <c r="J201" s="169">
        <f t="shared" si="51"/>
        <v>641.99404011016441</v>
      </c>
      <c r="K201" s="170">
        <f t="shared" si="66"/>
        <v>822.28229561710339</v>
      </c>
      <c r="L201" s="171">
        <f t="shared" si="65"/>
        <v>-180.28825550693898</v>
      </c>
      <c r="M201" s="172">
        <f t="shared" si="52"/>
        <v>-14.482812599256942</v>
      </c>
      <c r="N201" s="173">
        <f t="shared" si="53"/>
        <v>-194.77106810619591</v>
      </c>
      <c r="O201" s="172">
        <f t="shared" si="54"/>
        <v>0</v>
      </c>
      <c r="P201" s="172">
        <f t="shared" si="55"/>
        <v>0</v>
      </c>
      <c r="Q201" s="172">
        <v>0</v>
      </c>
      <c r="R201" s="173">
        <f t="shared" si="56"/>
        <v>-194.77106810619591</v>
      </c>
    </row>
    <row r="202" spans="1:18" x14ac:dyDescent="0.25">
      <c r="A202" s="130">
        <v>3</v>
      </c>
      <c r="B202" s="165">
        <f t="shared" si="49"/>
        <v>45352</v>
      </c>
      <c r="C202" s="185">
        <f t="shared" si="64"/>
        <v>45385</v>
      </c>
      <c r="D202" s="185">
        <f t="shared" si="64"/>
        <v>45406</v>
      </c>
      <c r="E202" s="174" t="s">
        <v>17</v>
      </c>
      <c r="F202" s="130">
        <v>9</v>
      </c>
      <c r="G202" s="167">
        <v>99</v>
      </c>
      <c r="H202" s="168">
        <f t="shared" si="50"/>
        <v>8.3058817739101354</v>
      </c>
      <c r="I202" s="168">
        <f t="shared" si="63"/>
        <v>6.4847882839410547</v>
      </c>
      <c r="J202" s="169">
        <f t="shared" si="51"/>
        <v>641.99404011016441</v>
      </c>
      <c r="K202" s="170">
        <f t="shared" si="66"/>
        <v>822.28229561710339</v>
      </c>
      <c r="L202" s="171">
        <f>+J202-K202</f>
        <v>-180.28825550693898</v>
      </c>
      <c r="M202" s="172">
        <f t="shared" si="52"/>
        <v>-14.482812599256942</v>
      </c>
      <c r="N202" s="173">
        <f t="shared" si="53"/>
        <v>-194.77106810619591</v>
      </c>
      <c r="O202" s="172">
        <f t="shared" si="54"/>
        <v>0</v>
      </c>
      <c r="P202" s="172">
        <f t="shared" si="55"/>
        <v>0</v>
      </c>
      <c r="Q202" s="172">
        <v>0</v>
      </c>
      <c r="R202" s="173">
        <f t="shared" si="56"/>
        <v>-194.77106810619591</v>
      </c>
    </row>
    <row r="203" spans="1:18" x14ac:dyDescent="0.25">
      <c r="A203" s="94">
        <v>4</v>
      </c>
      <c r="B203" s="165">
        <f t="shared" si="49"/>
        <v>45383</v>
      </c>
      <c r="C203" s="185">
        <f t="shared" si="64"/>
        <v>45415</v>
      </c>
      <c r="D203" s="185">
        <f t="shared" si="64"/>
        <v>45436</v>
      </c>
      <c r="E203" s="174" t="s">
        <v>17</v>
      </c>
      <c r="F203" s="130">
        <v>9</v>
      </c>
      <c r="G203" s="167">
        <v>99</v>
      </c>
      <c r="H203" s="168">
        <f t="shared" si="50"/>
        <v>8.3058817739101354</v>
      </c>
      <c r="I203" s="168">
        <f t="shared" si="63"/>
        <v>6.4847882839410547</v>
      </c>
      <c r="J203" s="169">
        <f t="shared" si="51"/>
        <v>641.99404011016441</v>
      </c>
      <c r="K203" s="170">
        <f t="shared" si="66"/>
        <v>822.28229561710339</v>
      </c>
      <c r="L203" s="171">
        <f t="shared" ref="L203:L211" si="67">+J203-K203</f>
        <v>-180.28825550693898</v>
      </c>
      <c r="M203" s="172">
        <f t="shared" si="52"/>
        <v>-14.482812599256942</v>
      </c>
      <c r="N203" s="173">
        <f t="shared" si="53"/>
        <v>-194.77106810619591</v>
      </c>
      <c r="O203" s="172">
        <f t="shared" si="54"/>
        <v>0</v>
      </c>
      <c r="P203" s="172">
        <f t="shared" si="55"/>
        <v>0</v>
      </c>
      <c r="Q203" s="172">
        <v>0</v>
      </c>
      <c r="R203" s="173">
        <f t="shared" si="56"/>
        <v>-194.77106810619591</v>
      </c>
    </row>
    <row r="204" spans="1:18" x14ac:dyDescent="0.25">
      <c r="A204" s="130">
        <v>5</v>
      </c>
      <c r="B204" s="165">
        <f t="shared" si="49"/>
        <v>45413</v>
      </c>
      <c r="C204" s="185">
        <f t="shared" si="64"/>
        <v>45448</v>
      </c>
      <c r="D204" s="185">
        <f t="shared" si="64"/>
        <v>45467</v>
      </c>
      <c r="E204" s="52" t="s">
        <v>17</v>
      </c>
      <c r="F204" s="130">
        <v>9</v>
      </c>
      <c r="G204" s="167">
        <v>106</v>
      </c>
      <c r="H204" s="168">
        <f t="shared" si="50"/>
        <v>8.3058817739101354</v>
      </c>
      <c r="I204" s="168">
        <f t="shared" si="63"/>
        <v>6.4847882839410547</v>
      </c>
      <c r="J204" s="169">
        <f t="shared" si="51"/>
        <v>687.38755809775182</v>
      </c>
      <c r="K204" s="170">
        <f t="shared" si="66"/>
        <v>880.42346803447435</v>
      </c>
      <c r="L204" s="171">
        <f t="shared" si="67"/>
        <v>-193.03590993672253</v>
      </c>
      <c r="M204" s="172">
        <f t="shared" si="52"/>
        <v>-15.506849853749857</v>
      </c>
      <c r="N204" s="173">
        <f t="shared" si="53"/>
        <v>-208.54275979047239</v>
      </c>
      <c r="O204" s="172">
        <f t="shared" si="54"/>
        <v>0</v>
      </c>
      <c r="P204" s="172">
        <f t="shared" si="55"/>
        <v>0</v>
      </c>
      <c r="Q204" s="172">
        <v>0</v>
      </c>
      <c r="R204" s="173">
        <f t="shared" si="56"/>
        <v>-208.54275979047239</v>
      </c>
    </row>
    <row r="205" spans="1:18" x14ac:dyDescent="0.25">
      <c r="A205" s="130">
        <v>6</v>
      </c>
      <c r="B205" s="165">
        <f t="shared" si="49"/>
        <v>45444</v>
      </c>
      <c r="C205" s="185">
        <f t="shared" si="64"/>
        <v>45476</v>
      </c>
      <c r="D205" s="185">
        <f t="shared" si="64"/>
        <v>45497</v>
      </c>
      <c r="E205" s="52" t="s">
        <v>17</v>
      </c>
      <c r="F205" s="130">
        <v>9</v>
      </c>
      <c r="G205" s="167">
        <v>120</v>
      </c>
      <c r="H205" s="168">
        <f t="shared" si="50"/>
        <v>8.3058817739101354</v>
      </c>
      <c r="I205" s="168">
        <f t="shared" si="63"/>
        <v>6.4847882839410547</v>
      </c>
      <c r="J205" s="169">
        <f t="shared" si="51"/>
        <v>778.17459407292654</v>
      </c>
      <c r="K205" s="170">
        <f t="shared" si="66"/>
        <v>996.70581286921629</v>
      </c>
      <c r="L205" s="175">
        <f t="shared" si="67"/>
        <v>-218.53121879628975</v>
      </c>
      <c r="M205" s="172">
        <f t="shared" si="52"/>
        <v>-17.554924362735687</v>
      </c>
      <c r="N205" s="173">
        <f t="shared" si="53"/>
        <v>-236.08614315902543</v>
      </c>
      <c r="O205" s="172">
        <f t="shared" si="54"/>
        <v>0</v>
      </c>
      <c r="P205" s="172">
        <f t="shared" si="55"/>
        <v>0</v>
      </c>
      <c r="Q205" s="172">
        <v>0</v>
      </c>
      <c r="R205" s="173">
        <f t="shared" si="56"/>
        <v>-236.08614315902543</v>
      </c>
    </row>
    <row r="206" spans="1:18" x14ac:dyDescent="0.25">
      <c r="A206" s="94">
        <v>7</v>
      </c>
      <c r="B206" s="165">
        <f t="shared" si="49"/>
        <v>45474</v>
      </c>
      <c r="C206" s="185">
        <f t="shared" si="64"/>
        <v>45509</v>
      </c>
      <c r="D206" s="185">
        <f t="shared" si="64"/>
        <v>45530</v>
      </c>
      <c r="E206" s="52" t="s">
        <v>17</v>
      </c>
      <c r="F206" s="130">
        <v>9</v>
      </c>
      <c r="G206" s="167">
        <v>117</v>
      </c>
      <c r="H206" s="168">
        <f t="shared" si="50"/>
        <v>8.3058817739101354</v>
      </c>
      <c r="I206" s="168">
        <f t="shared" si="63"/>
        <v>6.4847882839410547</v>
      </c>
      <c r="J206" s="169">
        <f t="shared" si="51"/>
        <v>758.72022922110341</v>
      </c>
      <c r="K206" s="176">
        <f t="shared" si="66"/>
        <v>971.78816754748584</v>
      </c>
      <c r="L206" s="175">
        <f t="shared" si="67"/>
        <v>-213.06793832638243</v>
      </c>
      <c r="M206" s="172">
        <f t="shared" si="52"/>
        <v>-17.116051253667298</v>
      </c>
      <c r="N206" s="173">
        <f t="shared" si="53"/>
        <v>-230.18398958004974</v>
      </c>
      <c r="O206" s="172">
        <f t="shared" si="54"/>
        <v>0</v>
      </c>
      <c r="P206" s="172">
        <f t="shared" si="55"/>
        <v>0</v>
      </c>
      <c r="Q206" s="172">
        <v>0</v>
      </c>
      <c r="R206" s="173">
        <f t="shared" si="56"/>
        <v>-230.18398958004974</v>
      </c>
    </row>
    <row r="207" spans="1:18" x14ac:dyDescent="0.25">
      <c r="A207" s="130">
        <v>8</v>
      </c>
      <c r="B207" s="165">
        <f t="shared" si="49"/>
        <v>45505</v>
      </c>
      <c r="C207" s="185">
        <f t="shared" si="64"/>
        <v>45539</v>
      </c>
      <c r="D207" s="185">
        <f t="shared" si="64"/>
        <v>45559</v>
      </c>
      <c r="E207" s="52" t="s">
        <v>17</v>
      </c>
      <c r="F207" s="130">
        <v>9</v>
      </c>
      <c r="G207" s="167">
        <v>118</v>
      </c>
      <c r="H207" s="168">
        <f t="shared" si="50"/>
        <v>8.3058817739101354</v>
      </c>
      <c r="I207" s="168">
        <f t="shared" si="63"/>
        <v>6.4847882839410547</v>
      </c>
      <c r="J207" s="169">
        <f t="shared" si="51"/>
        <v>765.20501750504445</v>
      </c>
      <c r="K207" s="176">
        <f t="shared" si="66"/>
        <v>980.09404932139603</v>
      </c>
      <c r="L207" s="175">
        <f t="shared" si="67"/>
        <v>-214.88903181635158</v>
      </c>
      <c r="M207" s="172">
        <f t="shared" si="52"/>
        <v>-17.262342290023426</v>
      </c>
      <c r="N207" s="173">
        <f t="shared" si="53"/>
        <v>-232.15137410637499</v>
      </c>
      <c r="O207" s="172">
        <f t="shared" si="54"/>
        <v>0</v>
      </c>
      <c r="P207" s="172">
        <f t="shared" si="55"/>
        <v>0</v>
      </c>
      <c r="Q207" s="172">
        <v>0</v>
      </c>
      <c r="R207" s="173">
        <f t="shared" si="56"/>
        <v>-232.15137410637499</v>
      </c>
    </row>
    <row r="208" spans="1:18" x14ac:dyDescent="0.25">
      <c r="A208" s="130">
        <v>9</v>
      </c>
      <c r="B208" s="165">
        <f t="shared" si="49"/>
        <v>45536</v>
      </c>
      <c r="C208" s="185">
        <f t="shared" si="64"/>
        <v>45568</v>
      </c>
      <c r="D208" s="185">
        <f t="shared" si="64"/>
        <v>45589</v>
      </c>
      <c r="E208" s="52" t="s">
        <v>17</v>
      </c>
      <c r="F208" s="130">
        <v>9</v>
      </c>
      <c r="G208" s="167">
        <v>117</v>
      </c>
      <c r="H208" s="168">
        <f t="shared" si="50"/>
        <v>8.3058817739101354</v>
      </c>
      <c r="I208" s="168">
        <f t="shared" si="63"/>
        <v>6.4847882839410547</v>
      </c>
      <c r="J208" s="169">
        <f t="shared" si="51"/>
        <v>758.72022922110341</v>
      </c>
      <c r="K208" s="176">
        <f t="shared" si="66"/>
        <v>971.78816754748584</v>
      </c>
      <c r="L208" s="175">
        <f t="shared" si="67"/>
        <v>-213.06793832638243</v>
      </c>
      <c r="M208" s="172">
        <f t="shared" si="52"/>
        <v>-17.116051253667298</v>
      </c>
      <c r="N208" s="173">
        <f t="shared" si="53"/>
        <v>-230.18398958004974</v>
      </c>
      <c r="O208" s="172">
        <f t="shared" si="54"/>
        <v>0</v>
      </c>
      <c r="P208" s="172">
        <f t="shared" si="55"/>
        <v>0</v>
      </c>
      <c r="Q208" s="172">
        <v>0</v>
      </c>
      <c r="R208" s="173">
        <f t="shared" si="56"/>
        <v>-230.18398958004974</v>
      </c>
    </row>
    <row r="209" spans="1:18" x14ac:dyDescent="0.25">
      <c r="A209" s="94">
        <v>10</v>
      </c>
      <c r="B209" s="165">
        <f t="shared" si="49"/>
        <v>45566</v>
      </c>
      <c r="C209" s="185">
        <f t="shared" si="64"/>
        <v>45601</v>
      </c>
      <c r="D209" s="185">
        <f t="shared" si="64"/>
        <v>45621</v>
      </c>
      <c r="E209" s="52" t="s">
        <v>17</v>
      </c>
      <c r="F209" s="130">
        <v>9</v>
      </c>
      <c r="G209" s="167">
        <v>107</v>
      </c>
      <c r="H209" s="168">
        <f t="shared" si="50"/>
        <v>8.3058817739101354</v>
      </c>
      <c r="I209" s="168">
        <f t="shared" si="63"/>
        <v>6.4847882839410547</v>
      </c>
      <c r="J209" s="169">
        <f t="shared" si="51"/>
        <v>693.87234638169286</v>
      </c>
      <c r="K209" s="176">
        <f t="shared" si="66"/>
        <v>888.72934980838454</v>
      </c>
      <c r="L209" s="175">
        <f t="shared" si="67"/>
        <v>-194.85700342669168</v>
      </c>
      <c r="M209" s="172">
        <f t="shared" si="52"/>
        <v>-15.653140890105988</v>
      </c>
      <c r="N209" s="173">
        <f t="shared" si="53"/>
        <v>-210.51014431679766</v>
      </c>
      <c r="O209" s="172">
        <f t="shared" si="54"/>
        <v>0</v>
      </c>
      <c r="P209" s="172">
        <f t="shared" si="55"/>
        <v>0</v>
      </c>
      <c r="Q209" s="172">
        <v>0</v>
      </c>
      <c r="R209" s="173">
        <f t="shared" si="56"/>
        <v>-210.51014431679766</v>
      </c>
    </row>
    <row r="210" spans="1:18" x14ac:dyDescent="0.25">
      <c r="A210" s="130">
        <v>11</v>
      </c>
      <c r="B210" s="165">
        <f t="shared" si="49"/>
        <v>45597</v>
      </c>
      <c r="C210" s="185">
        <f t="shared" si="64"/>
        <v>45630</v>
      </c>
      <c r="D210" s="185">
        <f t="shared" si="64"/>
        <v>45650</v>
      </c>
      <c r="E210" s="52" t="s">
        <v>17</v>
      </c>
      <c r="F210" s="130">
        <v>9</v>
      </c>
      <c r="G210" s="167">
        <v>91</v>
      </c>
      <c r="H210" s="168">
        <f t="shared" si="50"/>
        <v>8.3058817739101354</v>
      </c>
      <c r="I210" s="168">
        <f t="shared" si="63"/>
        <v>6.4847882839410547</v>
      </c>
      <c r="J210" s="169">
        <f t="shared" si="51"/>
        <v>590.11573383863595</v>
      </c>
      <c r="K210" s="176">
        <f>+$G210*H210</f>
        <v>755.83524142582235</v>
      </c>
      <c r="L210" s="175">
        <f t="shared" si="67"/>
        <v>-165.7195075871864</v>
      </c>
      <c r="M210" s="172">
        <f t="shared" si="52"/>
        <v>-13.312484308407898</v>
      </c>
      <c r="N210" s="173">
        <f t="shared" si="53"/>
        <v>-179.0319918955943</v>
      </c>
      <c r="O210" s="172">
        <f t="shared" si="54"/>
        <v>0</v>
      </c>
      <c r="P210" s="172">
        <f t="shared" si="55"/>
        <v>0</v>
      </c>
      <c r="Q210" s="172">
        <v>0</v>
      </c>
      <c r="R210" s="173">
        <f t="shared" si="56"/>
        <v>-179.0319918955943</v>
      </c>
    </row>
    <row r="211" spans="1:18" s="189" customFormat="1" x14ac:dyDescent="0.25">
      <c r="A211" s="130">
        <v>12</v>
      </c>
      <c r="B211" s="187">
        <f t="shared" si="49"/>
        <v>45627</v>
      </c>
      <c r="C211" s="190">
        <f t="shared" si="64"/>
        <v>45660</v>
      </c>
      <c r="D211" s="190">
        <f t="shared" si="64"/>
        <v>45681</v>
      </c>
      <c r="E211" s="188" t="s">
        <v>17</v>
      </c>
      <c r="F211" s="141">
        <v>9</v>
      </c>
      <c r="G211" s="167">
        <v>102</v>
      </c>
      <c r="H211" s="177">
        <f t="shared" si="50"/>
        <v>8.3058817739101354</v>
      </c>
      <c r="I211" s="177">
        <f t="shared" si="63"/>
        <v>6.4847882839410547</v>
      </c>
      <c r="J211" s="178">
        <f t="shared" si="51"/>
        <v>661.44840496198753</v>
      </c>
      <c r="K211" s="179">
        <f>+$G211*H211</f>
        <v>847.19994093883383</v>
      </c>
      <c r="L211" s="180">
        <f t="shared" si="67"/>
        <v>-185.7515359768463</v>
      </c>
      <c r="M211" s="178">
        <f t="shared" si="52"/>
        <v>-14.921685708325333</v>
      </c>
      <c r="N211" s="173">
        <f t="shared" si="53"/>
        <v>-200.67322168517163</v>
      </c>
      <c r="O211" s="178">
        <f t="shared" si="54"/>
        <v>0</v>
      </c>
      <c r="P211" s="195">
        <f t="shared" si="55"/>
        <v>0</v>
      </c>
      <c r="Q211" s="172">
        <v>0</v>
      </c>
      <c r="R211" s="173">
        <f t="shared" si="56"/>
        <v>-200.67322168517163</v>
      </c>
    </row>
    <row r="212" spans="1:18" x14ac:dyDescent="0.25">
      <c r="G212" s="196">
        <f>SUM(G20:G211)</f>
        <v>101851</v>
      </c>
      <c r="H212" s="49"/>
      <c r="I212" s="49"/>
      <c r="J212" s="49">
        <f>SUM(J20:J211)</f>
        <v>660482.17150767986</v>
      </c>
      <c r="K212" s="49">
        <f>SUM(K20:K211)</f>
        <v>845962.36455452198</v>
      </c>
      <c r="L212" s="49">
        <f>SUM(L20:L211)</f>
        <v>-185480.19304684064</v>
      </c>
      <c r="M212" s="49">
        <f>SUM(M20:M211)</f>
        <v>-14899.888343908266</v>
      </c>
      <c r="N212" s="49"/>
      <c r="O212" s="49"/>
      <c r="P212" s="49">
        <f>SUM(P20:P211)</f>
        <v>0</v>
      </c>
      <c r="Q212" s="49"/>
      <c r="R212" s="197">
        <f>SUM(R20:R211)</f>
        <v>-200380.08139074917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06342d-ce85-4729-8251-347f0ba4f840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9C77599AAFD4B8FFD850D55630F3C" ma:contentTypeVersion="11" ma:contentTypeDescription="Create a new document." ma:contentTypeScope="" ma:versionID="ad751a9f435e1866f9f8a73a34278f13">
  <xsd:schema xmlns:xsd="http://www.w3.org/2001/XMLSchema" xmlns:xs="http://www.w3.org/2001/XMLSchema" xmlns:p="http://schemas.microsoft.com/office/2006/metadata/properties" xmlns:ns2="6a06342d-ce85-4729-8251-347f0ba4f840" xmlns:ns3="b6888f76-1100-40b0-929b-1efe9044426d" targetNamespace="http://schemas.microsoft.com/office/2006/metadata/properties" ma:root="true" ma:fieldsID="e425485e64401a05f4c6dac9240526dc" ns2:_="" ns3:_="">
    <xsd:import namespace="6a06342d-ce85-4729-8251-347f0ba4f840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6342d-ce85-4729-8251-347f0ba4f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jozM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zo1NSBQTTwvRGF0ZVRpbWU+PExhYmVsU3RyaW5nPkFFUCBJbnRlcm5hb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DB026632-CAB5-46A0-8182-D7ABE6697302}">
  <ds:schemaRefs>
    <ds:schemaRef ds:uri="http://schemas.microsoft.com/office/2006/metadata/properties"/>
    <ds:schemaRef ds:uri="http://schemas.microsoft.com/office/infopath/2007/PartnerControls"/>
    <ds:schemaRef ds:uri="6a06342d-ce85-4729-8251-347f0ba4f840"/>
    <ds:schemaRef ds:uri="b6888f76-1100-40b0-929b-1efe9044426d"/>
  </ds:schemaRefs>
</ds:datastoreItem>
</file>

<file path=customXml/itemProps2.xml><?xml version="1.0" encoding="utf-8"?>
<ds:datastoreItem xmlns:ds="http://schemas.openxmlformats.org/officeDocument/2006/customXml" ds:itemID="{7AAADE0C-48BE-4939-8422-C5ECC3837B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6A1EF5-EC59-4CEA-BE4C-319478AF3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6342d-ce85-4729-8251-347f0ba4f840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B602648-4C77-4990-94F7-6C9A49714C17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A2E11D4F-4BC7-48D2-8287-91731C29EE8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2025-05-27T14:56:56Z</cp:lastPrinted>
  <dcterms:created xsi:type="dcterms:W3CDTF">2009-09-04T18:19:13Z</dcterms:created>
  <dcterms:modified xsi:type="dcterms:W3CDTF">2025-05-27T14:57:23Z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34117f76-9879-4d8e-89bd-ac1b4323c64e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{DB602648-4C77-4990-94F7-6C9A49714C17}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  <property fmtid="{D5CDD505-2E9C-101B-9397-08002B2CF9AE}" pid="13" name="ContentTypeId">
    <vt:lpwstr>0x0101002649C77599AAFD4B8FFD850D55630F3C</vt:lpwstr>
  </property>
  <property fmtid="{D5CDD505-2E9C-101B-9397-08002B2CF9AE}" pid="14" name="MediaServiceImageTags">
    <vt:lpwstr/>
  </property>
</Properties>
</file>