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Formula Rates/Transmission Formula Rates/West TransCos - SPP OATT Attach H-12/Rate Year 2024/True Up (ATRR)/As Filed/"/>
    </mc:Choice>
  </mc:AlternateContent>
  <xr:revisionPtr revIDLastSave="5" documentId="8_{1A545B7C-2961-4BED-83E2-32917DE8BF8C}" xr6:coauthVersionLast="47" xr6:coauthVersionMax="47" xr10:uidLastSave="{6C68F86E-6646-41D4-9411-AFA213884080}"/>
  <bookViews>
    <workbookView xWindow="52680" yWindow="-120" windowWidth="24240" windowHeight="13020" activeTab="1" xr2:uid="{00000000-000D-0000-FFFF-FFFF00000000}"/>
  </bookViews>
  <sheets>
    <sheet name="Summary" sheetId="29" r:id="rId1"/>
    <sheet name="Pivot" sheetId="31" r:id="rId2"/>
    <sheet name="Instructions" sheetId="33" r:id="rId3"/>
    <sheet name="Transactions" sheetId="18" r:id="rId4"/>
  </sheets>
  <definedNames>
    <definedName name="_xlnm._FilterDatabase" localSheetId="3" hidden="1">Transactions!$A$15:$R$211</definedName>
    <definedName name="AS1_1999" localSheetId="3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2">Instructions!$A$1:$Q$17</definedName>
    <definedName name="_xlnm.Print_Area" localSheetId="0">Summary!$C$1:$I$40</definedName>
    <definedName name="_xlnm.Print_Area" localSheetId="3">Transactions!$A$1:$R$211</definedName>
    <definedName name="_xlnm.Print_Titles" localSheetId="1">Pivot!$3:$4</definedName>
    <definedName name="_xlnm.Print_Titles" localSheetId="3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1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9" l="1"/>
  <c r="L3" i="18" l="1"/>
  <c r="H138" i="18"/>
  <c r="H106" i="18"/>
  <c r="H74" i="18"/>
  <c r="H42" i="18"/>
  <c r="H209" i="18"/>
  <c r="H122" i="18" l="1"/>
  <c r="H46" i="18"/>
  <c r="H78" i="18"/>
  <c r="H110" i="18"/>
  <c r="H142" i="18"/>
  <c r="H26" i="18"/>
  <c r="H58" i="18"/>
  <c r="H90" i="18"/>
  <c r="H30" i="18"/>
  <c r="H62" i="18"/>
  <c r="H94" i="18"/>
  <c r="H126" i="18"/>
  <c r="H34" i="18"/>
  <c r="H50" i="18"/>
  <c r="H66" i="18"/>
  <c r="H82" i="18"/>
  <c r="H98" i="18"/>
  <c r="H114" i="18"/>
  <c r="H130" i="18"/>
  <c r="H22" i="18"/>
  <c r="H38" i="18"/>
  <c r="H54" i="18"/>
  <c r="H70" i="18"/>
  <c r="H86" i="18"/>
  <c r="H102" i="18"/>
  <c r="H118" i="18"/>
  <c r="H134" i="18"/>
  <c r="H39" i="18"/>
  <c r="H51" i="18"/>
  <c r="H55" i="18"/>
  <c r="H59" i="18"/>
  <c r="H63" i="18"/>
  <c r="H67" i="18"/>
  <c r="H71" i="18"/>
  <c r="H75" i="18"/>
  <c r="H79" i="18"/>
  <c r="H83" i="18"/>
  <c r="H87" i="18"/>
  <c r="H91" i="18"/>
  <c r="H95" i="18"/>
  <c r="H99" i="18"/>
  <c r="H103" i="18"/>
  <c r="H107" i="18"/>
  <c r="H111" i="18"/>
  <c r="H115" i="18"/>
  <c r="H119" i="18"/>
  <c r="H123" i="18"/>
  <c r="H127" i="18"/>
  <c r="H131" i="18"/>
  <c r="H135" i="18"/>
  <c r="H139" i="18"/>
  <c r="H143" i="18"/>
  <c r="H147" i="18"/>
  <c r="H151" i="18"/>
  <c r="H155" i="18"/>
  <c r="H159" i="18"/>
  <c r="H163" i="18"/>
  <c r="H167" i="18"/>
  <c r="H171" i="18"/>
  <c r="H175" i="18"/>
  <c r="H179" i="18"/>
  <c r="H183" i="18"/>
  <c r="H187" i="18"/>
  <c r="H191" i="18"/>
  <c r="H195" i="18"/>
  <c r="H199" i="18"/>
  <c r="H203" i="18"/>
  <c r="H207" i="18"/>
  <c r="H211" i="18"/>
  <c r="H146" i="18"/>
  <c r="H154" i="18"/>
  <c r="H162" i="18"/>
  <c r="H170" i="18"/>
  <c r="H178" i="18"/>
  <c r="H186" i="18"/>
  <c r="H194" i="18"/>
  <c r="H202" i="18"/>
  <c r="H206" i="18"/>
  <c r="H27" i="18"/>
  <c r="H35" i="18"/>
  <c r="H47" i="18"/>
  <c r="H20" i="18"/>
  <c r="H24" i="18"/>
  <c r="H28" i="18"/>
  <c r="H32" i="18"/>
  <c r="H36" i="18"/>
  <c r="H40" i="18"/>
  <c r="H44" i="18"/>
  <c r="H48" i="18"/>
  <c r="H52" i="18"/>
  <c r="H56" i="18"/>
  <c r="H60" i="18"/>
  <c r="H64" i="18"/>
  <c r="H68" i="18"/>
  <c r="H72" i="18"/>
  <c r="H76" i="18"/>
  <c r="H80" i="18"/>
  <c r="H84" i="18"/>
  <c r="H88" i="18"/>
  <c r="H92" i="18"/>
  <c r="H96" i="18"/>
  <c r="H100" i="18"/>
  <c r="H104" i="18"/>
  <c r="H108" i="18"/>
  <c r="H112" i="18"/>
  <c r="H116" i="18"/>
  <c r="H120" i="18"/>
  <c r="H124" i="18"/>
  <c r="H128" i="18"/>
  <c r="H132" i="18"/>
  <c r="H136" i="18"/>
  <c r="H140" i="18"/>
  <c r="H144" i="18"/>
  <c r="H148" i="18"/>
  <c r="H152" i="18"/>
  <c r="H156" i="18"/>
  <c r="H160" i="18"/>
  <c r="H164" i="18"/>
  <c r="H168" i="18"/>
  <c r="H172" i="18"/>
  <c r="H176" i="18"/>
  <c r="H180" i="18"/>
  <c r="H184" i="18"/>
  <c r="H188" i="18"/>
  <c r="H192" i="18"/>
  <c r="H196" i="18"/>
  <c r="H200" i="18"/>
  <c r="H204" i="18"/>
  <c r="H208" i="18"/>
  <c r="H150" i="18"/>
  <c r="H158" i="18"/>
  <c r="H166" i="18"/>
  <c r="H174" i="18"/>
  <c r="H182" i="18"/>
  <c r="H190" i="18"/>
  <c r="H198" i="18"/>
  <c r="H210" i="18"/>
  <c r="H23" i="18"/>
  <c r="H31" i="18"/>
  <c r="H43" i="18"/>
  <c r="H21" i="18"/>
  <c r="H25" i="18"/>
  <c r="H29" i="18"/>
  <c r="H33" i="18"/>
  <c r="H37" i="18"/>
  <c r="H41" i="18"/>
  <c r="H45" i="18"/>
  <c r="H49" i="18"/>
  <c r="H53" i="18"/>
  <c r="H57" i="18"/>
  <c r="H61" i="18"/>
  <c r="H65" i="18"/>
  <c r="H69" i="18"/>
  <c r="H73" i="18"/>
  <c r="H77" i="18"/>
  <c r="H81" i="18"/>
  <c r="H85" i="18"/>
  <c r="H89" i="18"/>
  <c r="H93" i="18"/>
  <c r="H97" i="18"/>
  <c r="H101" i="18"/>
  <c r="H105" i="18"/>
  <c r="H109" i="18"/>
  <c r="H113" i="18"/>
  <c r="H117" i="18"/>
  <c r="H121" i="18"/>
  <c r="H125" i="18"/>
  <c r="H129" i="18"/>
  <c r="H133" i="18"/>
  <c r="H137" i="18"/>
  <c r="H141" i="18"/>
  <c r="H145" i="18"/>
  <c r="H149" i="18"/>
  <c r="H153" i="18"/>
  <c r="H157" i="18"/>
  <c r="H161" i="18"/>
  <c r="H165" i="18"/>
  <c r="H169" i="18"/>
  <c r="H173" i="18"/>
  <c r="H177" i="18"/>
  <c r="H181" i="18"/>
  <c r="H185" i="18"/>
  <c r="H189" i="18"/>
  <c r="H193" i="18"/>
  <c r="H197" i="18"/>
  <c r="H201" i="18"/>
  <c r="H205" i="18"/>
  <c r="O191" i="18" l="1"/>
  <c r="K1" i="18"/>
  <c r="O59" i="18"/>
  <c r="P59" i="18" s="1"/>
  <c r="O67" i="18"/>
  <c r="O210" i="18"/>
  <c r="P210" i="18" s="1"/>
  <c r="O202" i="18"/>
  <c r="O178" i="18"/>
  <c r="O146" i="18"/>
  <c r="O138" i="18"/>
  <c r="O98" i="18"/>
  <c r="O90" i="18"/>
  <c r="P90" i="18" s="1"/>
  <c r="O38" i="18"/>
  <c r="P38" i="18" s="1"/>
  <c r="O209" i="18"/>
  <c r="O181" i="18"/>
  <c r="P181" i="18" s="1"/>
  <c r="O177" i="18"/>
  <c r="O145" i="18"/>
  <c r="O121" i="18"/>
  <c r="O97" i="18"/>
  <c r="O81" i="18"/>
  <c r="P81" i="18" s="1"/>
  <c r="O73" i="18"/>
  <c r="O49" i="18"/>
  <c r="O25" i="18"/>
  <c r="O208" i="18"/>
  <c r="O180" i="18"/>
  <c r="O160" i="18"/>
  <c r="O152" i="18"/>
  <c r="O120" i="18"/>
  <c r="O100" i="18"/>
  <c r="O96" i="18"/>
  <c r="O72" i="18"/>
  <c r="O52" i="18"/>
  <c r="O48" i="18"/>
  <c r="O23" i="18"/>
  <c r="O119" i="18"/>
  <c r="P119" i="18" s="1"/>
  <c r="O135" i="18"/>
  <c r="P191" i="18"/>
  <c r="P121" i="18"/>
  <c r="P98" i="18"/>
  <c r="P97" i="18"/>
  <c r="P7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C3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D38" i="18"/>
  <c r="D50" i="18" s="1"/>
  <c r="J19" i="18"/>
  <c r="D43" i="18"/>
  <c r="D67" i="18" s="1"/>
  <c r="D79" i="18" s="1"/>
  <c r="B31" i="18"/>
  <c r="D42" i="18"/>
  <c r="D66" i="18" s="1"/>
  <c r="B30" i="18"/>
  <c r="D41" i="18"/>
  <c r="D65" i="18" s="1"/>
  <c r="D89" i="18" s="1"/>
  <c r="D101" i="18" s="1"/>
  <c r="D113" i="18" s="1"/>
  <c r="D125" i="18" s="1"/>
  <c r="D137" i="18" s="1"/>
  <c r="D149" i="18" s="1"/>
  <c r="D161" i="18" s="1"/>
  <c r="D185" i="18" s="1"/>
  <c r="D197" i="18" s="1"/>
  <c r="D209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B16" i="18"/>
  <c r="J1" i="18"/>
  <c r="C43" i="18"/>
  <c r="B175" i="18"/>
  <c r="B174" i="18"/>
  <c r="B173" i="18"/>
  <c r="B172" i="18"/>
  <c r="B171" i="18"/>
  <c r="C38" i="18"/>
  <c r="B170" i="18"/>
  <c r="C37" i="18"/>
  <c r="C61" i="18" s="1"/>
  <c r="C73" i="18" s="1"/>
  <c r="B169" i="18"/>
  <c r="B168" i="18"/>
  <c r="B167" i="18"/>
  <c r="B166" i="18"/>
  <c r="C33" i="18"/>
  <c r="C45" i="18" s="1"/>
  <c r="B165" i="18"/>
  <c r="C32" i="18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59" i="18" s="1"/>
  <c r="C83" i="18" s="1"/>
  <c r="C95" i="18" s="1"/>
  <c r="C107" i="18" s="1"/>
  <c r="C119" i="18" s="1"/>
  <c r="C131" i="18" s="1"/>
  <c r="C143" i="18" s="1"/>
  <c r="C155" i="18" s="1"/>
  <c r="C34" i="18"/>
  <c r="C46" i="18" s="1"/>
  <c r="C41" i="18"/>
  <c r="C53" i="18" s="1"/>
  <c r="D36" i="18"/>
  <c r="D60" i="18" s="1"/>
  <c r="D84" i="18" s="1"/>
  <c r="D96" i="18" s="1"/>
  <c r="D108" i="18" s="1"/>
  <c r="D120" i="18" s="1"/>
  <c r="D132" i="18" s="1"/>
  <c r="D144" i="18" s="1"/>
  <c r="D156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D35" i="18"/>
  <c r="D37" i="18"/>
  <c r="D40" i="18"/>
  <c r="D52" i="18" s="1"/>
  <c r="D33" i="18"/>
  <c r="D57" i="18" s="1"/>
  <c r="D69" i="18" s="1"/>
  <c r="D34" i="18"/>
  <c r="D46" i="18" s="1"/>
  <c r="C54" i="18"/>
  <c r="C66" i="18"/>
  <c r="C90" i="18" s="1"/>
  <c r="C102" i="18" s="1"/>
  <c r="C114" i="18" s="1"/>
  <c r="C126" i="18" s="1"/>
  <c r="C138" i="18" s="1"/>
  <c r="C150" i="18" s="1"/>
  <c r="C162" i="18" s="1"/>
  <c r="D53" i="18"/>
  <c r="C85" i="18"/>
  <c r="C97" i="18" s="1"/>
  <c r="C109" i="18" s="1"/>
  <c r="C121" i="18" s="1"/>
  <c r="C133" i="18" s="1"/>
  <c r="C145" i="18" s="1"/>
  <c r="C157" i="18" s="1"/>
  <c r="O139" i="18"/>
  <c r="O107" i="18"/>
  <c r="O175" i="18"/>
  <c r="P175" i="18" s="1"/>
  <c r="O91" i="18"/>
  <c r="P91" i="18" s="1"/>
  <c r="O99" i="18"/>
  <c r="O163" i="18"/>
  <c r="P163" i="18" s="1"/>
  <c r="O190" i="18"/>
  <c r="P190" i="18" s="1"/>
  <c r="O174" i="18"/>
  <c r="O126" i="18"/>
  <c r="P126" i="18" s="1"/>
  <c r="O110" i="18"/>
  <c r="O78" i="18"/>
  <c r="P78" i="18" s="1"/>
  <c r="O30" i="18"/>
  <c r="O173" i="18"/>
  <c r="O157" i="18"/>
  <c r="O125" i="18"/>
  <c r="O109" i="18"/>
  <c r="O77" i="18"/>
  <c r="O61" i="18"/>
  <c r="P61" i="18" s="1"/>
  <c r="O204" i="18"/>
  <c r="O188" i="18"/>
  <c r="O140" i="18"/>
  <c r="P140" i="18" s="1"/>
  <c r="O92" i="18"/>
  <c r="O60" i="18"/>
  <c r="P60" i="18" s="1"/>
  <c r="O44" i="18"/>
  <c r="O103" i="18"/>
  <c r="O167" i="18"/>
  <c r="P167" i="18" s="1"/>
  <c r="O183" i="18"/>
  <c r="O20" i="18"/>
  <c r="O84" i="18"/>
  <c r="O104" i="18"/>
  <c r="P104" i="18" s="1"/>
  <c r="O128" i="18"/>
  <c r="P128" i="18" s="1"/>
  <c r="O148" i="18"/>
  <c r="P148" i="18" s="1"/>
  <c r="O168" i="18"/>
  <c r="O192" i="18"/>
  <c r="O21" i="18"/>
  <c r="P21" i="18" s="1"/>
  <c r="O41" i="18"/>
  <c r="O65" i="18"/>
  <c r="O85" i="18"/>
  <c r="O105" i="18"/>
  <c r="O129" i="18"/>
  <c r="O149" i="18"/>
  <c r="O169" i="18"/>
  <c r="P169" i="18" s="1"/>
  <c r="O193" i="18"/>
  <c r="P193" i="18" s="1"/>
  <c r="O22" i="18"/>
  <c r="O42" i="18"/>
  <c r="P42" i="18" s="1"/>
  <c r="O66" i="18"/>
  <c r="O86" i="18"/>
  <c r="P86" i="18" s="1"/>
  <c r="O106" i="18"/>
  <c r="P106" i="18"/>
  <c r="O130" i="18"/>
  <c r="P130" i="18" s="1"/>
  <c r="O150" i="18"/>
  <c r="P150" i="18" s="1"/>
  <c r="O170" i="18"/>
  <c r="O194" i="18"/>
  <c r="O195" i="18"/>
  <c r="P195" i="18" s="1"/>
  <c r="O115" i="18"/>
  <c r="P115" i="18" s="1"/>
  <c r="O187" i="18"/>
  <c r="O27" i="18"/>
  <c r="O79" i="18"/>
  <c r="O43" i="18"/>
  <c r="O159" i="18"/>
  <c r="P152" i="18"/>
  <c r="O75" i="18"/>
  <c r="P65" i="18"/>
  <c r="O198" i="18"/>
  <c r="P198" i="18"/>
  <c r="O147" i="18"/>
  <c r="O51" i="18"/>
  <c r="O207" i="18"/>
  <c r="O171" i="18"/>
  <c r="P171" i="18" s="1"/>
  <c r="O211" i="18"/>
  <c r="P135" i="18"/>
  <c r="O58" i="18"/>
  <c r="O114" i="18"/>
  <c r="O166" i="18"/>
  <c r="P166" i="18" s="1"/>
  <c r="O83" i="18"/>
  <c r="P83" i="18" s="1"/>
  <c r="O203" i="18"/>
  <c r="P203" i="18" s="1"/>
  <c r="P147" i="18"/>
  <c r="P146" i="18"/>
  <c r="O95" i="18"/>
  <c r="P95" i="18" s="1"/>
  <c r="O63" i="18"/>
  <c r="P63" i="18" s="1"/>
  <c r="O111" i="18"/>
  <c r="P111" i="18" s="1"/>
  <c r="O131" i="18"/>
  <c r="P131" i="18" s="1"/>
  <c r="O186" i="18"/>
  <c r="O162" i="18"/>
  <c r="P162" i="18" s="1"/>
  <c r="O134" i="18"/>
  <c r="O102" i="18"/>
  <c r="P102" i="18" s="1"/>
  <c r="O82" i="18"/>
  <c r="O54" i="18"/>
  <c r="O34" i="18"/>
  <c r="O197" i="18"/>
  <c r="P197" i="18" s="1"/>
  <c r="O165" i="18"/>
  <c r="O137" i="18"/>
  <c r="P137" i="18" s="1"/>
  <c r="O117" i="18"/>
  <c r="P117" i="18" s="1"/>
  <c r="O69" i="18"/>
  <c r="P69" i="18" s="1"/>
  <c r="O37" i="18"/>
  <c r="P37" i="18" s="1"/>
  <c r="O200" i="18"/>
  <c r="P200" i="18" s="1"/>
  <c r="O176" i="18"/>
  <c r="P176" i="18" s="1"/>
  <c r="O144" i="18"/>
  <c r="O116" i="18"/>
  <c r="P116" i="18" s="1"/>
  <c r="O88" i="18"/>
  <c r="P88" i="18" s="1"/>
  <c r="O68" i="18"/>
  <c r="O36" i="18"/>
  <c r="O55" i="18"/>
  <c r="O151" i="18"/>
  <c r="P151" i="18" s="1"/>
  <c r="O31" i="18"/>
  <c r="O158" i="18"/>
  <c r="P158" i="18" s="1"/>
  <c r="O62" i="18"/>
  <c r="O205" i="18"/>
  <c r="P205" i="18" s="1"/>
  <c r="O45" i="18"/>
  <c r="P45" i="18" s="1"/>
  <c r="O172" i="18"/>
  <c r="P172" i="18" s="1"/>
  <c r="O124" i="18"/>
  <c r="O76" i="18"/>
  <c r="P76" i="18" s="1"/>
  <c r="O28" i="18"/>
  <c r="O127" i="18"/>
  <c r="P127" i="18" s="1"/>
  <c r="O40" i="18"/>
  <c r="P40" i="18" s="1"/>
  <c r="O143" i="18"/>
  <c r="P143" i="18"/>
  <c r="O155" i="18"/>
  <c r="O179" i="18"/>
  <c r="O182" i="18"/>
  <c r="P182" i="18"/>
  <c r="O154" i="18"/>
  <c r="P154" i="18" s="1"/>
  <c r="O122" i="18"/>
  <c r="P122" i="18" s="1"/>
  <c r="O74" i="18"/>
  <c r="O50" i="18"/>
  <c r="O26" i="18"/>
  <c r="P26" i="18" s="1"/>
  <c r="O185" i="18"/>
  <c r="P185" i="18" s="1"/>
  <c r="O161" i="18"/>
  <c r="O133" i="18"/>
  <c r="P133" i="18" s="1"/>
  <c r="O113" i="18"/>
  <c r="P113" i="18" s="1"/>
  <c r="O89" i="18"/>
  <c r="O57" i="18"/>
  <c r="O33" i="18"/>
  <c r="O196" i="18"/>
  <c r="P196" i="18" s="1"/>
  <c r="O164" i="18"/>
  <c r="O136" i="18"/>
  <c r="O112" i="18"/>
  <c r="O56" i="18"/>
  <c r="O32" i="18"/>
  <c r="P32" i="18" s="1"/>
  <c r="O71" i="18"/>
  <c r="O199" i="18"/>
  <c r="O47" i="18"/>
  <c r="O35" i="18"/>
  <c r="P35" i="18" s="1"/>
  <c r="O206" i="18"/>
  <c r="O142" i="18"/>
  <c r="P142" i="18" s="1"/>
  <c r="O94" i="18"/>
  <c r="P94" i="18" s="1"/>
  <c r="O46" i="18"/>
  <c r="P46" i="18" s="1"/>
  <c r="O189" i="18"/>
  <c r="P189" i="18" s="1"/>
  <c r="O141" i="18"/>
  <c r="P141" i="18" s="1"/>
  <c r="O93" i="18"/>
  <c r="O29" i="18"/>
  <c r="O156" i="18"/>
  <c r="P156" i="18" s="1"/>
  <c r="O108" i="18"/>
  <c r="O39" i="18"/>
  <c r="P39" i="18" s="1"/>
  <c r="O87" i="18"/>
  <c r="P87" i="18" s="1"/>
  <c r="O64" i="18"/>
  <c r="P64" i="18" s="1"/>
  <c r="P177" i="18"/>
  <c r="P208" i="18"/>
  <c r="P57" i="18"/>
  <c r="P165" i="18"/>
  <c r="P173" i="18"/>
  <c r="H31" i="29"/>
  <c r="G22" i="29"/>
  <c r="G31" i="29"/>
  <c r="D35" i="29"/>
  <c r="H26" i="29"/>
  <c r="E26" i="29"/>
  <c r="D21" i="29"/>
  <c r="G32" i="29"/>
  <c r="D27" i="29"/>
  <c r="G25" i="29"/>
  <c r="E21" i="29"/>
  <c r="E22" i="29"/>
  <c r="G37" i="29"/>
  <c r="E29" i="29"/>
  <c r="E24" i="29"/>
  <c r="E33" i="29"/>
  <c r="H21" i="29"/>
  <c r="H33" i="29"/>
  <c r="G35" i="29"/>
  <c r="H32" i="29"/>
  <c r="D23" i="29"/>
  <c r="H37" i="29"/>
  <c r="H36" i="29"/>
  <c r="G26" i="29"/>
  <c r="D24" i="29"/>
  <c r="E36" i="29"/>
  <c r="G21" i="29"/>
  <c r="D26" i="29"/>
  <c r="G24" i="29"/>
  <c r="D33" i="29"/>
  <c r="G29" i="29"/>
  <c r="G33" i="29"/>
  <c r="E32" i="29"/>
  <c r="D22" i="29"/>
  <c r="G28" i="29"/>
  <c r="D37" i="29"/>
  <c r="H28" i="29"/>
  <c r="E23" i="29"/>
  <c r="D31" i="29"/>
  <c r="H30" i="29"/>
  <c r="E27" i="29"/>
  <c r="H25" i="29"/>
  <c r="G27" i="29"/>
  <c r="H23" i="29"/>
  <c r="G30" i="29"/>
  <c r="E25" i="29"/>
  <c r="E31" i="29"/>
  <c r="H22" i="29"/>
  <c r="E37" i="29"/>
  <c r="E30" i="29"/>
  <c r="H29" i="29"/>
  <c r="H27" i="29"/>
  <c r="D28" i="29"/>
  <c r="D25" i="29"/>
  <c r="G36" i="29"/>
  <c r="E35" i="29"/>
  <c r="H24" i="29"/>
  <c r="G23" i="29"/>
  <c r="D36" i="29"/>
  <c r="E28" i="29"/>
  <c r="D32" i="29"/>
  <c r="H35" i="29"/>
  <c r="D30" i="29"/>
  <c r="D29" i="29"/>
  <c r="C72" i="18" l="1"/>
  <c r="C71" i="18"/>
  <c r="C49" i="18"/>
  <c r="C58" i="18"/>
  <c r="C82" i="18" s="1"/>
  <c r="C94" i="18" s="1"/>
  <c r="C106" i="18" s="1"/>
  <c r="C118" i="18" s="1"/>
  <c r="C130" i="18" s="1"/>
  <c r="C142" i="18" s="1"/>
  <c r="C154" i="18" s="1"/>
  <c r="D45" i="18"/>
  <c r="C63" i="18"/>
  <c r="C87" i="18" s="1"/>
  <c r="C99" i="18" s="1"/>
  <c r="C111" i="18" s="1"/>
  <c r="C123" i="18" s="1"/>
  <c r="C135" i="18" s="1"/>
  <c r="C147" i="18" s="1"/>
  <c r="C159" i="18" s="1"/>
  <c r="C78" i="18"/>
  <c r="C65" i="18"/>
  <c r="C89" i="18" s="1"/>
  <c r="C101" i="18" s="1"/>
  <c r="C113" i="18" s="1"/>
  <c r="C125" i="18" s="1"/>
  <c r="C137" i="18" s="1"/>
  <c r="C149" i="18" s="1"/>
  <c r="C161" i="18" s="1"/>
  <c r="C185" i="18" s="1"/>
  <c r="C197" i="18" s="1"/>
  <c r="C209" i="18" s="1"/>
  <c r="C57" i="18"/>
  <c r="C81" i="18" s="1"/>
  <c r="C93" i="18" s="1"/>
  <c r="C105" i="18" s="1"/>
  <c r="C117" i="18" s="1"/>
  <c r="C129" i="18" s="1"/>
  <c r="C141" i="18" s="1"/>
  <c r="C153" i="18" s="1"/>
  <c r="C165" i="18" s="1"/>
  <c r="D55" i="18"/>
  <c r="D63" i="18"/>
  <c r="D75" i="18" s="1"/>
  <c r="D62" i="18"/>
  <c r="D74" i="18" s="1"/>
  <c r="D64" i="18"/>
  <c r="D76" i="18" s="1"/>
  <c r="D54" i="18"/>
  <c r="D48" i="18"/>
  <c r="D81" i="18"/>
  <c r="D93" i="18" s="1"/>
  <c r="D105" i="18" s="1"/>
  <c r="D117" i="18" s="1"/>
  <c r="D129" i="18" s="1"/>
  <c r="D141" i="18" s="1"/>
  <c r="D153" i="18" s="1"/>
  <c r="D165" i="18" s="1"/>
  <c r="D77" i="18"/>
  <c r="P56" i="18"/>
  <c r="E10" i="29"/>
  <c r="F10" i="29"/>
  <c r="E20" i="29"/>
  <c r="D20" i="29"/>
  <c r="C180" i="18"/>
  <c r="C192" i="18" s="1"/>
  <c r="C204" i="18" s="1"/>
  <c r="C168" i="18"/>
  <c r="D91" i="18"/>
  <c r="D103" i="18" s="1"/>
  <c r="D115" i="18" s="1"/>
  <c r="D127" i="18" s="1"/>
  <c r="D139" i="18" s="1"/>
  <c r="D151" i="18" s="1"/>
  <c r="D163" i="18" s="1"/>
  <c r="D187" i="18" s="1"/>
  <c r="D199" i="18" s="1"/>
  <c r="D211" i="18" s="1"/>
  <c r="D58" i="18"/>
  <c r="C48" i="18"/>
  <c r="D72" i="18"/>
  <c r="C47" i="18"/>
  <c r="P124" i="18"/>
  <c r="P34" i="18"/>
  <c r="P207" i="18"/>
  <c r="P183" i="18"/>
  <c r="P199" i="18"/>
  <c r="P136" i="18"/>
  <c r="P55" i="18"/>
  <c r="P54" i="18"/>
  <c r="P51" i="18"/>
  <c r="P109" i="18"/>
  <c r="P30" i="18"/>
  <c r="P48" i="18"/>
  <c r="P62" i="18"/>
  <c r="P187" i="18"/>
  <c r="P105" i="18"/>
  <c r="P89" i="18"/>
  <c r="P50" i="18"/>
  <c r="P179" i="18"/>
  <c r="P31" i="18"/>
  <c r="P144" i="18"/>
  <c r="P82" i="18"/>
  <c r="P79" i="18"/>
  <c r="P22" i="18"/>
  <c r="P149" i="18"/>
  <c r="P168" i="18"/>
  <c r="P170" i="18"/>
  <c r="P174" i="18"/>
  <c r="P202" i="18"/>
  <c r="P120" i="18"/>
  <c r="G34" i="29"/>
  <c r="E38" i="29"/>
  <c r="F29" i="29"/>
  <c r="I29" i="29" s="1"/>
  <c r="F31" i="29"/>
  <c r="I31" i="29" s="1"/>
  <c r="F22" i="29"/>
  <c r="I22" i="29" s="1"/>
  <c r="F23" i="29"/>
  <c r="I23" i="29" s="1"/>
  <c r="F36" i="29"/>
  <c r="I36" i="29" s="1"/>
  <c r="G38" i="29"/>
  <c r="F25" i="29"/>
  <c r="I25" i="29" s="1"/>
  <c r="F30" i="29"/>
  <c r="I30" i="29" s="1"/>
  <c r="F27" i="29"/>
  <c r="I27" i="29" s="1"/>
  <c r="F21" i="29"/>
  <c r="D34" i="29"/>
  <c r="D38" i="29"/>
  <c r="F35" i="29"/>
  <c r="F33" i="29"/>
  <c r="I33" i="29" s="1"/>
  <c r="F32" i="29"/>
  <c r="I32" i="29" s="1"/>
  <c r="H38" i="29"/>
  <c r="F37" i="29"/>
  <c r="I37" i="29" s="1"/>
  <c r="E34" i="29"/>
  <c r="F24" i="29"/>
  <c r="I24" i="29" s="1"/>
  <c r="H34" i="29"/>
  <c r="H39" i="29" s="1"/>
  <c r="F28" i="29"/>
  <c r="I28" i="29" s="1"/>
  <c r="F26" i="29"/>
  <c r="I26" i="29" s="1"/>
  <c r="C181" i="18"/>
  <c r="C193" i="18" s="1"/>
  <c r="C205" i="18" s="1"/>
  <c r="C169" i="18"/>
  <c r="C167" i="18"/>
  <c r="C179" i="18"/>
  <c r="C191" i="18" s="1"/>
  <c r="C203" i="18" s="1"/>
  <c r="D168" i="18"/>
  <c r="D180" i="18"/>
  <c r="D192" i="18" s="1"/>
  <c r="D204" i="18" s="1"/>
  <c r="C186" i="18"/>
  <c r="C198" i="18" s="1"/>
  <c r="C210" i="18" s="1"/>
  <c r="C174" i="18"/>
  <c r="D173" i="18"/>
  <c r="D44" i="18"/>
  <c r="D56" i="18"/>
  <c r="D47" i="18"/>
  <c r="D59" i="18"/>
  <c r="C55" i="18"/>
  <c r="C67" i="18"/>
  <c r="D90" i="18"/>
  <c r="D102" i="18" s="1"/>
  <c r="D114" i="18" s="1"/>
  <c r="D126" i="18" s="1"/>
  <c r="D138" i="18" s="1"/>
  <c r="D150" i="18" s="1"/>
  <c r="D162" i="18" s="1"/>
  <c r="D78" i="18"/>
  <c r="P29" i="18"/>
  <c r="P33" i="18"/>
  <c r="P186" i="18"/>
  <c r="C52" i="18"/>
  <c r="C64" i="18"/>
  <c r="C56" i="18"/>
  <c r="C44" i="18"/>
  <c r="P41" i="18"/>
  <c r="P108" i="18"/>
  <c r="P206" i="18"/>
  <c r="P159" i="18"/>
  <c r="P77" i="18"/>
  <c r="D61" i="18"/>
  <c r="D49" i="18"/>
  <c r="C50" i="18"/>
  <c r="C62" i="18"/>
  <c r="P85" i="18"/>
  <c r="P194" i="18"/>
  <c r="P139" i="18"/>
  <c r="P67" i="18"/>
  <c r="P164" i="18"/>
  <c r="P160" i="18"/>
  <c r="O123" i="18"/>
  <c r="P123" i="18" s="1"/>
  <c r="O118" i="18"/>
  <c r="O70" i="18"/>
  <c r="P70" i="18" s="1"/>
  <c r="O201" i="18"/>
  <c r="P201" i="18" s="1"/>
  <c r="O153" i="18"/>
  <c r="O101" i="18"/>
  <c r="O53" i="18"/>
  <c r="P53" i="18" s="1"/>
  <c r="O184" i="18"/>
  <c r="P184" i="18" s="1"/>
  <c r="O132" i="18"/>
  <c r="O80" i="18"/>
  <c r="P80" i="18" s="1"/>
  <c r="O24" i="18"/>
  <c r="P24" i="18" s="1"/>
  <c r="P107" i="18"/>
  <c r="P74" i="18"/>
  <c r="G212" i="18"/>
  <c r="P58" i="18"/>
  <c r="P66" i="18"/>
  <c r="P211" i="18"/>
  <c r="P84" i="18"/>
  <c r="P92" i="18"/>
  <c r="P96" i="18"/>
  <c r="P110" i="18"/>
  <c r="P114" i="18"/>
  <c r="P118" i="18"/>
  <c r="P125" i="18"/>
  <c r="P129" i="18"/>
  <c r="P145" i="18"/>
  <c r="P153" i="18"/>
  <c r="P157" i="18"/>
  <c r="P161" i="18"/>
  <c r="P180" i="18"/>
  <c r="P188" i="18"/>
  <c r="P192" i="18"/>
  <c r="P204" i="18"/>
  <c r="P99" i="18"/>
  <c r="P103" i="18"/>
  <c r="P23" i="18"/>
  <c r="P27" i="18"/>
  <c r="P43" i="18"/>
  <c r="P47" i="18"/>
  <c r="P75" i="18"/>
  <c r="P93" i="18"/>
  <c r="P100" i="18"/>
  <c r="P134" i="18"/>
  <c r="P138" i="18"/>
  <c r="P209" i="18"/>
  <c r="P20" i="18"/>
  <c r="P28" i="18"/>
  <c r="P36" i="18"/>
  <c r="P44" i="18"/>
  <c r="P52" i="18"/>
  <c r="P68" i="18"/>
  <c r="P72" i="18"/>
  <c r="P101" i="18"/>
  <c r="P112" i="18"/>
  <c r="P132" i="18"/>
  <c r="P155" i="18"/>
  <c r="P178" i="18"/>
  <c r="P25" i="18"/>
  <c r="P49" i="18"/>
  <c r="P73" i="18"/>
  <c r="C173" i="18" l="1"/>
  <c r="C75" i="18"/>
  <c r="D175" i="18"/>
  <c r="C77" i="18"/>
  <c r="C70" i="18"/>
  <c r="D87" i="18"/>
  <c r="D99" i="18" s="1"/>
  <c r="D111" i="18" s="1"/>
  <c r="D123" i="18" s="1"/>
  <c r="D135" i="18" s="1"/>
  <c r="D147" i="18" s="1"/>
  <c r="D159" i="18" s="1"/>
  <c r="D171" i="18" s="1"/>
  <c r="D88" i="18"/>
  <c r="D100" i="18" s="1"/>
  <c r="D112" i="18" s="1"/>
  <c r="D124" i="18" s="1"/>
  <c r="D136" i="18" s="1"/>
  <c r="D148" i="18" s="1"/>
  <c r="D160" i="18" s="1"/>
  <c r="D172" i="18" s="1"/>
  <c r="D86" i="18"/>
  <c r="D98" i="18" s="1"/>
  <c r="D110" i="18" s="1"/>
  <c r="D122" i="18" s="1"/>
  <c r="D134" i="18" s="1"/>
  <c r="D146" i="18" s="1"/>
  <c r="D158" i="18" s="1"/>
  <c r="D182" i="18" s="1"/>
  <c r="D194" i="18" s="1"/>
  <c r="D206" i="18" s="1"/>
  <c r="C69" i="18"/>
  <c r="C177" i="18"/>
  <c r="C189" i="18" s="1"/>
  <c r="C201" i="18" s="1"/>
  <c r="D177" i="18"/>
  <c r="D189" i="18" s="1"/>
  <c r="D201" i="18" s="1"/>
  <c r="E39" i="29"/>
  <c r="O13" i="18"/>
  <c r="D82" i="18"/>
  <c r="D94" i="18" s="1"/>
  <c r="D106" i="18" s="1"/>
  <c r="D118" i="18" s="1"/>
  <c r="D130" i="18" s="1"/>
  <c r="D142" i="18" s="1"/>
  <c r="D154" i="18" s="1"/>
  <c r="D70" i="18"/>
  <c r="C74" i="18"/>
  <c r="C86" i="18"/>
  <c r="C98" i="18" s="1"/>
  <c r="C110" i="18" s="1"/>
  <c r="C122" i="18" s="1"/>
  <c r="C134" i="18" s="1"/>
  <c r="C146" i="18" s="1"/>
  <c r="C158" i="18" s="1"/>
  <c r="D83" i="18"/>
  <c r="D95" i="18" s="1"/>
  <c r="D107" i="18" s="1"/>
  <c r="D119" i="18" s="1"/>
  <c r="D131" i="18" s="1"/>
  <c r="D143" i="18" s="1"/>
  <c r="D155" i="18" s="1"/>
  <c r="D71" i="18"/>
  <c r="I21" i="29"/>
  <c r="F34" i="29"/>
  <c r="O14" i="18"/>
  <c r="C178" i="18"/>
  <c r="C190" i="18" s="1"/>
  <c r="C202" i="18" s="1"/>
  <c r="C166" i="18"/>
  <c r="D186" i="18"/>
  <c r="D198" i="18" s="1"/>
  <c r="D210" i="18" s="1"/>
  <c r="D174" i="18"/>
  <c r="C183" i="18"/>
  <c r="C195" i="18" s="1"/>
  <c r="C207" i="18" s="1"/>
  <c r="C171" i="18"/>
  <c r="F38" i="29"/>
  <c r="I35" i="29"/>
  <c r="C76" i="18"/>
  <c r="C88" i="18"/>
  <c r="C100" i="18" s="1"/>
  <c r="C112" i="18" s="1"/>
  <c r="C124" i="18" s="1"/>
  <c r="C136" i="18" s="1"/>
  <c r="C148" i="18" s="1"/>
  <c r="C160" i="18" s="1"/>
  <c r="C91" i="18"/>
  <c r="C103" i="18" s="1"/>
  <c r="C115" i="18" s="1"/>
  <c r="C127" i="18" s="1"/>
  <c r="C139" i="18" s="1"/>
  <c r="C151" i="18" s="1"/>
  <c r="C163" i="18" s="1"/>
  <c r="C79" i="18"/>
  <c r="D73" i="18"/>
  <c r="D85" i="18"/>
  <c r="D97" i="18" s="1"/>
  <c r="D109" i="18" s="1"/>
  <c r="D121" i="18" s="1"/>
  <c r="D133" i="18" s="1"/>
  <c r="D145" i="18" s="1"/>
  <c r="D157" i="18" s="1"/>
  <c r="C80" i="18"/>
  <c r="C92" i="18" s="1"/>
  <c r="C104" i="18" s="1"/>
  <c r="C116" i="18" s="1"/>
  <c r="C128" i="18" s="1"/>
  <c r="C140" i="18" s="1"/>
  <c r="C152" i="18" s="1"/>
  <c r="C68" i="18"/>
  <c r="D68" i="18"/>
  <c r="D80" i="18"/>
  <c r="D92" i="18" s="1"/>
  <c r="D104" i="18" s="1"/>
  <c r="D116" i="18" s="1"/>
  <c r="D128" i="18" s="1"/>
  <c r="D140" i="18" s="1"/>
  <c r="D152" i="18" s="1"/>
  <c r="D39" i="29"/>
  <c r="G39" i="29"/>
  <c r="P14" i="18"/>
  <c r="P212" i="18"/>
  <c r="P13" i="18"/>
  <c r="D184" i="18" l="1"/>
  <c r="D196" i="18" s="1"/>
  <c r="D208" i="18" s="1"/>
  <c r="D183" i="18"/>
  <c r="D195" i="18" s="1"/>
  <c r="D207" i="18" s="1"/>
  <c r="D170" i="18"/>
  <c r="F39" i="29"/>
  <c r="D178" i="18"/>
  <c r="D190" i="18" s="1"/>
  <c r="D202" i="18" s="1"/>
  <c r="D166" i="18"/>
  <c r="C172" i="18"/>
  <c r="C184" i="18"/>
  <c r="C196" i="18" s="1"/>
  <c r="C208" i="18" s="1"/>
  <c r="I38" i="29"/>
  <c r="C170" i="18"/>
  <c r="C182" i="18"/>
  <c r="C194" i="18" s="1"/>
  <c r="C206" i="18" s="1"/>
  <c r="I34" i="29"/>
  <c r="C164" i="18"/>
  <c r="C176" i="18"/>
  <c r="C188" i="18" s="1"/>
  <c r="C200" i="18" s="1"/>
  <c r="D164" i="18"/>
  <c r="D176" i="18"/>
  <c r="D188" i="18" s="1"/>
  <c r="D200" i="18" s="1"/>
  <c r="D181" i="18"/>
  <c r="D193" i="18" s="1"/>
  <c r="D205" i="18" s="1"/>
  <c r="D169" i="18"/>
  <c r="C187" i="18"/>
  <c r="C199" i="18" s="1"/>
  <c r="C211" i="18" s="1"/>
  <c r="C175" i="18"/>
  <c r="D179" i="18"/>
  <c r="D191" i="18" s="1"/>
  <c r="D203" i="18" s="1"/>
  <c r="D167" i="18"/>
  <c r="I39" i="29" l="1"/>
  <c r="E11" i="29" l="1"/>
  <c r="K94" i="18" l="1"/>
  <c r="K144" i="18"/>
  <c r="K31" i="18"/>
  <c r="K148" i="18"/>
  <c r="K110" i="18"/>
  <c r="K155" i="18"/>
  <c r="K120" i="18"/>
  <c r="K41" i="18"/>
  <c r="K90" i="18"/>
  <c r="K83" i="18"/>
  <c r="K157" i="18"/>
  <c r="K112" i="18"/>
  <c r="K87" i="18"/>
  <c r="K57" i="18"/>
  <c r="K30" i="18"/>
  <c r="K104" i="18"/>
  <c r="K162" i="18"/>
  <c r="K21" i="18"/>
  <c r="K49" i="18"/>
  <c r="K179" i="18"/>
  <c r="K199" i="18"/>
  <c r="K208" i="18"/>
  <c r="K125" i="18"/>
  <c r="K152" i="18"/>
  <c r="K154" i="18"/>
  <c r="K55" i="18"/>
  <c r="K47" i="18"/>
  <c r="K129" i="18"/>
  <c r="K153" i="18"/>
  <c r="K74" i="18"/>
  <c r="K177" i="18"/>
  <c r="K184" i="18"/>
  <c r="K209" i="18"/>
  <c r="K42" i="18"/>
  <c r="K174" i="18"/>
  <c r="K186" i="18"/>
  <c r="K170" i="18"/>
  <c r="K158" i="18"/>
  <c r="K145" i="18"/>
  <c r="K205" i="18"/>
  <c r="K139" i="18"/>
  <c r="K27" i="18"/>
  <c r="K85" i="18"/>
  <c r="K137" i="18"/>
  <c r="K43" i="18"/>
  <c r="K165" i="18"/>
  <c r="K84" i="18"/>
  <c r="K25" i="18"/>
  <c r="K207" i="18"/>
  <c r="K69" i="18"/>
  <c r="K91" i="18"/>
  <c r="K192" i="18"/>
  <c r="K119" i="18"/>
  <c r="K122" i="18"/>
  <c r="K23" i="18"/>
  <c r="K77" i="18"/>
  <c r="K48" i="18"/>
  <c r="K39" i="18"/>
  <c r="K178" i="18"/>
  <c r="K45" i="18"/>
  <c r="K175" i="18"/>
  <c r="K126" i="18"/>
  <c r="K100" i="18"/>
  <c r="K52" i="18"/>
  <c r="K73" i="18"/>
  <c r="K28" i="18"/>
  <c r="K80" i="18"/>
  <c r="K203" i="18"/>
  <c r="K181" i="18"/>
  <c r="K130" i="18"/>
  <c r="K62" i="18"/>
  <c r="K34" i="18"/>
  <c r="K40" i="18"/>
  <c r="K206" i="18"/>
  <c r="K33" i="18"/>
  <c r="K20" i="18"/>
  <c r="K81" i="18"/>
  <c r="K92" i="18"/>
  <c r="K189" i="18"/>
  <c r="K75" i="18"/>
  <c r="K60" i="18"/>
  <c r="K151" i="18"/>
  <c r="K65" i="18"/>
  <c r="K194" i="18"/>
  <c r="K160" i="18"/>
  <c r="K99" i="18"/>
  <c r="K118" i="18"/>
  <c r="K136" i="18"/>
  <c r="K134" i="18"/>
  <c r="K124" i="18"/>
  <c r="K173" i="18"/>
  <c r="K59" i="18"/>
  <c r="K68" i="18"/>
  <c r="K95" i="18"/>
  <c r="K97" i="18"/>
  <c r="K117" i="18"/>
  <c r="K24" i="18"/>
  <c r="K197" i="18"/>
  <c r="K191" i="18"/>
  <c r="K64" i="18"/>
  <c r="K121" i="18"/>
  <c r="K26" i="18"/>
  <c r="K56" i="18"/>
  <c r="K71" i="18"/>
  <c r="K146" i="18"/>
  <c r="K180" i="18"/>
  <c r="K159" i="18"/>
  <c r="K185" i="18"/>
  <c r="K98" i="18"/>
  <c r="K172" i="18"/>
  <c r="K169" i="18"/>
  <c r="K58" i="18"/>
  <c r="K44" i="18"/>
  <c r="K102" i="18"/>
  <c r="K66" i="18"/>
  <c r="K127" i="18"/>
  <c r="K67" i="18"/>
  <c r="K63" i="18"/>
  <c r="K142" i="18"/>
  <c r="K38" i="18"/>
  <c r="K61" i="18"/>
  <c r="K156" i="18"/>
  <c r="K141" i="18"/>
  <c r="K109" i="18"/>
  <c r="K210" i="18"/>
  <c r="K143" i="18"/>
  <c r="K88" i="18"/>
  <c r="K35" i="18"/>
  <c r="K128" i="18"/>
  <c r="K164" i="18"/>
  <c r="K201" i="18"/>
  <c r="K106" i="18"/>
  <c r="K96" i="18"/>
  <c r="K161" i="18"/>
  <c r="K149" i="18"/>
  <c r="K36" i="18"/>
  <c r="K133" i="18"/>
  <c r="K187" i="18"/>
  <c r="K46" i="18"/>
  <c r="K211" i="18"/>
  <c r="K168" i="18"/>
  <c r="K163" i="18"/>
  <c r="K114" i="18"/>
  <c r="K204" i="18"/>
  <c r="K171" i="18"/>
  <c r="K200" i="18"/>
  <c r="K188" i="18"/>
  <c r="K108" i="18"/>
  <c r="K202" i="18"/>
  <c r="K70" i="18"/>
  <c r="K116" i="18"/>
  <c r="K131" i="18"/>
  <c r="K115" i="18"/>
  <c r="K22" i="18"/>
  <c r="K140" i="18"/>
  <c r="K111" i="18"/>
  <c r="K105" i="18"/>
  <c r="K50" i="18"/>
  <c r="K132" i="18"/>
  <c r="K190" i="18"/>
  <c r="K93" i="18"/>
  <c r="K107" i="18"/>
  <c r="K113" i="18"/>
  <c r="E13" i="29"/>
  <c r="K53" i="18"/>
  <c r="K150" i="18"/>
  <c r="K78" i="18"/>
  <c r="K29" i="18"/>
  <c r="K195" i="18"/>
  <c r="K176" i="18"/>
  <c r="K32" i="18"/>
  <c r="K167" i="18"/>
  <c r="K72" i="18"/>
  <c r="K135" i="18"/>
  <c r="K37" i="18"/>
  <c r="K147" i="18"/>
  <c r="K138" i="18"/>
  <c r="K51" i="18"/>
  <c r="K123" i="18"/>
  <c r="K89" i="18"/>
  <c r="K86" i="18"/>
  <c r="K54" i="18"/>
  <c r="K103" i="18"/>
  <c r="K82" i="18"/>
  <c r="K183" i="18"/>
  <c r="K166" i="18"/>
  <c r="K101" i="18"/>
  <c r="K79" i="18"/>
  <c r="K196" i="18"/>
  <c r="K193" i="18"/>
  <c r="K198" i="18"/>
  <c r="K76" i="18"/>
  <c r="K182" i="18"/>
  <c r="K14" i="18" l="1"/>
  <c r="K212" i="18"/>
  <c r="K13" i="18"/>
  <c r="F12" i="29" l="1"/>
  <c r="I81" i="18" l="1"/>
  <c r="J81" i="18" s="1"/>
  <c r="L81" i="18" s="1"/>
  <c r="I97" i="18"/>
  <c r="J97" i="18" s="1"/>
  <c r="L97" i="18" s="1"/>
  <c r="I124" i="18"/>
  <c r="J124" i="18" s="1"/>
  <c r="L124" i="18" s="1"/>
  <c r="I181" i="18"/>
  <c r="J181" i="18" s="1"/>
  <c r="L181" i="18" s="1"/>
  <c r="I42" i="18"/>
  <c r="J42" i="18" s="1"/>
  <c r="L42" i="18" s="1"/>
  <c r="I31" i="18"/>
  <c r="J31" i="18" s="1"/>
  <c r="L31" i="18" s="1"/>
  <c r="I156" i="18"/>
  <c r="J156" i="18" s="1"/>
  <c r="L156" i="18" s="1"/>
  <c r="I70" i="18"/>
  <c r="J70" i="18" s="1"/>
  <c r="L70" i="18" s="1"/>
  <c r="I36" i="18"/>
  <c r="J36" i="18" s="1"/>
  <c r="L36" i="18" s="1"/>
  <c r="I176" i="18"/>
  <c r="J176" i="18" s="1"/>
  <c r="L176" i="18" s="1"/>
  <c r="I71" i="18"/>
  <c r="J71" i="18" s="1"/>
  <c r="L71" i="18" s="1"/>
  <c r="I64" i="18"/>
  <c r="J64" i="18" s="1"/>
  <c r="L64" i="18" s="1"/>
  <c r="I179" i="18"/>
  <c r="J179" i="18" s="1"/>
  <c r="L179" i="18" s="1"/>
  <c r="I98" i="18"/>
  <c r="J98" i="18" s="1"/>
  <c r="L98" i="18" s="1"/>
  <c r="I191" i="18"/>
  <c r="J191" i="18" s="1"/>
  <c r="L191" i="18" s="1"/>
  <c r="I58" i="18"/>
  <c r="J58" i="18" s="1"/>
  <c r="L58" i="18" s="1"/>
  <c r="I171" i="18"/>
  <c r="J171" i="18" s="1"/>
  <c r="L171" i="18" s="1"/>
  <c r="I117" i="18"/>
  <c r="J117" i="18" s="1"/>
  <c r="L117" i="18" s="1"/>
  <c r="I30" i="18"/>
  <c r="J30" i="18" s="1"/>
  <c r="L30" i="18" s="1"/>
  <c r="I91" i="18"/>
  <c r="J91" i="18" s="1"/>
  <c r="L91" i="18" s="1"/>
  <c r="I189" i="18"/>
  <c r="J189" i="18" s="1"/>
  <c r="L189" i="18" s="1"/>
  <c r="I184" i="18"/>
  <c r="J184" i="18" s="1"/>
  <c r="L184" i="18" s="1"/>
  <c r="I152" i="18"/>
  <c r="J152" i="18" s="1"/>
  <c r="L152" i="18" s="1"/>
  <c r="I208" i="18"/>
  <c r="J208" i="18" s="1"/>
  <c r="L208" i="18" s="1"/>
  <c r="I134" i="18"/>
  <c r="J134" i="18" s="1"/>
  <c r="L134" i="18" s="1"/>
  <c r="I89" i="18"/>
  <c r="J89" i="18" s="1"/>
  <c r="L89" i="18" s="1"/>
  <c r="I183" i="18"/>
  <c r="J183" i="18" s="1"/>
  <c r="L183" i="18" s="1"/>
  <c r="I87" i="18"/>
  <c r="J87" i="18" s="1"/>
  <c r="L87" i="18" s="1"/>
  <c r="I61" i="18"/>
  <c r="J61" i="18" s="1"/>
  <c r="L61" i="18" s="1"/>
  <c r="I175" i="18"/>
  <c r="J175" i="18" s="1"/>
  <c r="L175" i="18" s="1"/>
  <c r="I132" i="18"/>
  <c r="J132" i="18" s="1"/>
  <c r="L132" i="18" s="1"/>
  <c r="I25" i="18"/>
  <c r="J25" i="18" s="1"/>
  <c r="L25" i="18" s="1"/>
  <c r="I111" i="18"/>
  <c r="J111" i="18" s="1"/>
  <c r="L111" i="18" s="1"/>
  <c r="I54" i="18"/>
  <c r="J54" i="18" s="1"/>
  <c r="L54" i="18" s="1"/>
  <c r="I192" i="18"/>
  <c r="J192" i="18" s="1"/>
  <c r="L192" i="18" s="1"/>
  <c r="I86" i="18"/>
  <c r="J86" i="18" s="1"/>
  <c r="L86" i="18" s="1"/>
  <c r="I116" i="18"/>
  <c r="J116" i="18" s="1"/>
  <c r="L116" i="18" s="1"/>
  <c r="I59" i="18"/>
  <c r="J59" i="18" s="1"/>
  <c r="L59" i="18" s="1"/>
  <c r="I27" i="18"/>
  <c r="J27" i="18" s="1"/>
  <c r="L27" i="18" s="1"/>
  <c r="I83" i="18"/>
  <c r="J83" i="18" s="1"/>
  <c r="L83" i="18" s="1"/>
  <c r="I92" i="18"/>
  <c r="J92" i="18" s="1"/>
  <c r="L92" i="18" s="1"/>
  <c r="I77" i="18"/>
  <c r="J77" i="18" s="1"/>
  <c r="L77" i="18" s="1"/>
  <c r="I49" i="18"/>
  <c r="J49" i="18" s="1"/>
  <c r="L49" i="18" s="1"/>
  <c r="I84" i="18"/>
  <c r="J84" i="18" s="1"/>
  <c r="L84" i="18" s="1"/>
  <c r="I161" i="18"/>
  <c r="J161" i="18" s="1"/>
  <c r="L161" i="18" s="1"/>
  <c r="I180" i="18"/>
  <c r="J180" i="18" s="1"/>
  <c r="L180" i="18" s="1"/>
  <c r="I39" i="18"/>
  <c r="J39" i="18" s="1"/>
  <c r="L39" i="18" s="1"/>
  <c r="I186" i="18"/>
  <c r="J186" i="18" s="1"/>
  <c r="L186" i="18" s="1"/>
  <c r="I50" i="18"/>
  <c r="J50" i="18" s="1"/>
  <c r="L50" i="18" s="1"/>
  <c r="I172" i="18"/>
  <c r="J172" i="18" s="1"/>
  <c r="L172" i="18" s="1"/>
  <c r="I104" i="18"/>
  <c r="J104" i="18" s="1"/>
  <c r="L104" i="18" s="1"/>
  <c r="I188" i="18"/>
  <c r="J188" i="18" s="1"/>
  <c r="L188" i="18" s="1"/>
  <c r="I57" i="18"/>
  <c r="J57" i="18" s="1"/>
  <c r="L57" i="18" s="1"/>
  <c r="I99" i="18"/>
  <c r="J99" i="18" s="1"/>
  <c r="L99" i="18" s="1"/>
  <c r="I185" i="18"/>
  <c r="J185" i="18" s="1"/>
  <c r="L185" i="18" s="1"/>
  <c r="I29" i="18"/>
  <c r="J29" i="18" s="1"/>
  <c r="L29" i="18" s="1"/>
  <c r="I62" i="18"/>
  <c r="J62" i="18" s="1"/>
  <c r="L62" i="18" s="1"/>
  <c r="I178" i="18"/>
  <c r="J178" i="18" s="1"/>
  <c r="L178" i="18" s="1"/>
  <c r="I108" i="18"/>
  <c r="J108" i="18" s="1"/>
  <c r="L108" i="18" s="1"/>
  <c r="I38" i="18"/>
  <c r="J38" i="18" s="1"/>
  <c r="L38" i="18" s="1"/>
  <c r="I204" i="18"/>
  <c r="J204" i="18" s="1"/>
  <c r="L204" i="18" s="1"/>
  <c r="I162" i="18"/>
  <c r="J162" i="18" s="1"/>
  <c r="L162" i="18" s="1"/>
  <c r="I107" i="18"/>
  <c r="J107" i="18" s="1"/>
  <c r="L107" i="18" s="1"/>
  <c r="I128" i="18"/>
  <c r="J128" i="18" s="1"/>
  <c r="L128" i="18" s="1"/>
  <c r="I105" i="18"/>
  <c r="J105" i="18" s="1"/>
  <c r="L105" i="18" s="1"/>
  <c r="I60" i="18"/>
  <c r="J60" i="18" s="1"/>
  <c r="L60" i="18" s="1"/>
  <c r="I187" i="18"/>
  <c r="J187" i="18" s="1"/>
  <c r="L187" i="18" s="1"/>
  <c r="I195" i="18"/>
  <c r="J195" i="18" s="1"/>
  <c r="L195" i="18" s="1"/>
  <c r="I193" i="18"/>
  <c r="J193" i="18" s="1"/>
  <c r="L193" i="18" s="1"/>
  <c r="I177" i="18"/>
  <c r="J177" i="18" s="1"/>
  <c r="L177" i="18" s="1"/>
  <c r="I41" i="18"/>
  <c r="J41" i="18" s="1"/>
  <c r="L41" i="18" s="1"/>
  <c r="I160" i="18"/>
  <c r="J160" i="18" s="1"/>
  <c r="L160" i="18" s="1"/>
  <c r="I142" i="18"/>
  <c r="J142" i="18" s="1"/>
  <c r="L142" i="18" s="1"/>
  <c r="I51" i="18"/>
  <c r="J51" i="18" s="1"/>
  <c r="L51" i="18" s="1"/>
  <c r="I137" i="18"/>
  <c r="J137" i="18" s="1"/>
  <c r="L137" i="18" s="1"/>
  <c r="I79" i="18"/>
  <c r="J79" i="18" s="1"/>
  <c r="L79" i="18" s="1"/>
  <c r="I23" i="18"/>
  <c r="J23" i="18" s="1"/>
  <c r="L23" i="18" s="1"/>
  <c r="I69" i="18"/>
  <c r="J69" i="18" s="1"/>
  <c r="L69" i="18" s="1"/>
  <c r="I123" i="18"/>
  <c r="J123" i="18" s="1"/>
  <c r="L123" i="18" s="1"/>
  <c r="I164" i="18"/>
  <c r="J164" i="18" s="1"/>
  <c r="L164" i="18" s="1"/>
  <c r="I73" i="18"/>
  <c r="J73" i="18" s="1"/>
  <c r="L73" i="18" s="1"/>
  <c r="I90" i="18"/>
  <c r="J90" i="18" s="1"/>
  <c r="L90" i="18" s="1"/>
  <c r="I170" i="18"/>
  <c r="J170" i="18" s="1"/>
  <c r="L170" i="18" s="1"/>
  <c r="I63" i="18"/>
  <c r="J63" i="18" s="1"/>
  <c r="L63" i="18" s="1"/>
  <c r="I78" i="18"/>
  <c r="J78" i="18" s="1"/>
  <c r="L78" i="18" s="1"/>
  <c r="I102" i="18"/>
  <c r="J102" i="18" s="1"/>
  <c r="L102" i="18" s="1"/>
  <c r="I95" i="18"/>
  <c r="J95" i="18" s="1"/>
  <c r="L95" i="18" s="1"/>
  <c r="I153" i="18"/>
  <c r="J153" i="18" s="1"/>
  <c r="L153" i="18" s="1"/>
  <c r="I32" i="18"/>
  <c r="J32" i="18" s="1"/>
  <c r="L32" i="18" s="1"/>
  <c r="I173" i="18"/>
  <c r="J173" i="18" s="1"/>
  <c r="L173" i="18" s="1"/>
  <c r="I157" i="18"/>
  <c r="J157" i="18" s="1"/>
  <c r="L157" i="18" s="1"/>
  <c r="I130" i="18"/>
  <c r="J130" i="18" s="1"/>
  <c r="L130" i="18" s="1"/>
  <c r="I149" i="18"/>
  <c r="J149" i="18" s="1"/>
  <c r="L149" i="18" s="1"/>
  <c r="I148" i="18"/>
  <c r="J148" i="18" s="1"/>
  <c r="L148" i="18" s="1"/>
  <c r="I68" i="18"/>
  <c r="J68" i="18" s="1"/>
  <c r="L68" i="18" s="1"/>
  <c r="I47" i="18"/>
  <c r="J47" i="18" s="1"/>
  <c r="L47" i="18" s="1"/>
  <c r="I210" i="18"/>
  <c r="J210" i="18" s="1"/>
  <c r="L210" i="18" s="1"/>
  <c r="I56" i="18"/>
  <c r="J56" i="18" s="1"/>
  <c r="F14" i="29"/>
  <c r="I136" i="18"/>
  <c r="J136" i="18" s="1"/>
  <c r="L136" i="18" s="1"/>
  <c r="I44" i="18"/>
  <c r="J44" i="18" s="1"/>
  <c r="L44" i="18" s="1"/>
  <c r="I197" i="18"/>
  <c r="J197" i="18" s="1"/>
  <c r="L197" i="18" s="1"/>
  <c r="I53" i="18"/>
  <c r="J53" i="18" s="1"/>
  <c r="L53" i="18" s="1"/>
  <c r="I66" i="18"/>
  <c r="J66" i="18" s="1"/>
  <c r="L66" i="18" s="1"/>
  <c r="I67" i="18"/>
  <c r="J67" i="18" s="1"/>
  <c r="L67" i="18" s="1"/>
  <c r="I138" i="18"/>
  <c r="J138" i="18" s="1"/>
  <c r="L138" i="18" s="1"/>
  <c r="I113" i="18"/>
  <c r="J113" i="18" s="1"/>
  <c r="L113" i="18" s="1"/>
  <c r="I40" i="18"/>
  <c r="J40" i="18" s="1"/>
  <c r="L40" i="18" s="1"/>
  <c r="I135" i="18"/>
  <c r="J135" i="18" s="1"/>
  <c r="L135" i="18" s="1"/>
  <c r="I174" i="18"/>
  <c r="J174" i="18" s="1"/>
  <c r="L174" i="18" s="1"/>
  <c r="I129" i="18"/>
  <c r="J129" i="18" s="1"/>
  <c r="L129" i="18" s="1"/>
  <c r="I34" i="18"/>
  <c r="J34" i="18" s="1"/>
  <c r="L34" i="18" s="1"/>
  <c r="I43" i="18"/>
  <c r="J43" i="18" s="1"/>
  <c r="L43" i="18" s="1"/>
  <c r="I198" i="18"/>
  <c r="J198" i="18" s="1"/>
  <c r="L198" i="18" s="1"/>
  <c r="I151" i="18"/>
  <c r="J151" i="18" s="1"/>
  <c r="L151" i="18" s="1"/>
  <c r="I109" i="18"/>
  <c r="J109" i="18" s="1"/>
  <c r="L109" i="18" s="1"/>
  <c r="I199" i="18"/>
  <c r="J199" i="18" s="1"/>
  <c r="L199" i="18" s="1"/>
  <c r="I55" i="18"/>
  <c r="J55" i="18" s="1"/>
  <c r="L55" i="18" s="1"/>
  <c r="I112" i="18"/>
  <c r="J112" i="18" s="1"/>
  <c r="L112" i="18" s="1"/>
  <c r="I75" i="18"/>
  <c r="J75" i="18" s="1"/>
  <c r="L75" i="18" s="1"/>
  <c r="I48" i="18"/>
  <c r="J48" i="18" s="1"/>
  <c r="L48" i="18" s="1"/>
  <c r="I131" i="18"/>
  <c r="J131" i="18" s="1"/>
  <c r="L131" i="18" s="1"/>
  <c r="I127" i="18"/>
  <c r="J127" i="18" s="1"/>
  <c r="L127" i="18" s="1"/>
  <c r="I22" i="18"/>
  <c r="J22" i="18" s="1"/>
  <c r="L22" i="18" s="1"/>
  <c r="I133" i="18"/>
  <c r="J133" i="18" s="1"/>
  <c r="L133" i="18" s="1"/>
  <c r="I65" i="18"/>
  <c r="J65" i="18" s="1"/>
  <c r="L65" i="18" s="1"/>
  <c r="I26" i="18"/>
  <c r="J26" i="18" s="1"/>
  <c r="L26" i="18" s="1"/>
  <c r="I166" i="18"/>
  <c r="J166" i="18" s="1"/>
  <c r="L166" i="18" s="1"/>
  <c r="I144" i="18"/>
  <c r="J144" i="18" s="1"/>
  <c r="L144" i="18" s="1"/>
  <c r="I72" i="18"/>
  <c r="J72" i="18" s="1"/>
  <c r="L72" i="18" s="1"/>
  <c r="I21" i="18"/>
  <c r="J21" i="18" s="1"/>
  <c r="L21" i="18" s="1"/>
  <c r="I196" i="18"/>
  <c r="J196" i="18" s="1"/>
  <c r="L196" i="18" s="1"/>
  <c r="I163" i="18"/>
  <c r="J163" i="18" s="1"/>
  <c r="L163" i="18" s="1"/>
  <c r="I125" i="18"/>
  <c r="J125" i="18" s="1"/>
  <c r="L125" i="18" s="1"/>
  <c r="I118" i="18"/>
  <c r="J118" i="18" s="1"/>
  <c r="L118" i="18" s="1"/>
  <c r="I169" i="18"/>
  <c r="J169" i="18" s="1"/>
  <c r="L169" i="18" s="1"/>
  <c r="I182" i="18"/>
  <c r="J182" i="18" s="1"/>
  <c r="L182" i="18" s="1"/>
  <c r="I202" i="18"/>
  <c r="J202" i="18" s="1"/>
  <c r="L202" i="18" s="1"/>
  <c r="I100" i="18"/>
  <c r="J100" i="18" s="1"/>
  <c r="L100" i="18" s="1"/>
  <c r="I146" i="18"/>
  <c r="J146" i="18" s="1"/>
  <c r="L146" i="18" s="1"/>
  <c r="I85" i="18"/>
  <c r="J85" i="18" s="1"/>
  <c r="L85" i="18" s="1"/>
  <c r="I74" i="18"/>
  <c r="J74" i="18" s="1"/>
  <c r="L74" i="18" s="1"/>
  <c r="I145" i="18"/>
  <c r="J145" i="18" s="1"/>
  <c r="L145" i="18" s="1"/>
  <c r="I158" i="18"/>
  <c r="J158" i="18" s="1"/>
  <c r="L158" i="18" s="1"/>
  <c r="I82" i="18"/>
  <c r="J82" i="18" s="1"/>
  <c r="L82" i="18" s="1"/>
  <c r="I88" i="18"/>
  <c r="J88" i="18" s="1"/>
  <c r="L88" i="18" s="1"/>
  <c r="I190" i="18"/>
  <c r="J190" i="18" s="1"/>
  <c r="L190" i="18" s="1"/>
  <c r="I96" i="18"/>
  <c r="J96" i="18" s="1"/>
  <c r="L96" i="18" s="1"/>
  <c r="I103" i="18"/>
  <c r="J103" i="18" s="1"/>
  <c r="L103" i="18" s="1"/>
  <c r="I33" i="18"/>
  <c r="J33" i="18" s="1"/>
  <c r="L33" i="18" s="1"/>
  <c r="I121" i="18"/>
  <c r="J121" i="18" s="1"/>
  <c r="L121" i="18" s="1"/>
  <c r="I52" i="18"/>
  <c r="J52" i="18" s="1"/>
  <c r="L52" i="18" s="1"/>
  <c r="I120" i="18"/>
  <c r="J120" i="18" s="1"/>
  <c r="L120" i="18" s="1"/>
  <c r="I141" i="18"/>
  <c r="J141" i="18" s="1"/>
  <c r="L141" i="18" s="1"/>
  <c r="I110" i="18"/>
  <c r="J110" i="18" s="1"/>
  <c r="L110" i="18" s="1"/>
  <c r="I115" i="18"/>
  <c r="J115" i="18" s="1"/>
  <c r="L115" i="18" s="1"/>
  <c r="I37" i="18"/>
  <c r="J37" i="18" s="1"/>
  <c r="L37" i="18" s="1"/>
  <c r="I209" i="18"/>
  <c r="J209" i="18" s="1"/>
  <c r="L209" i="18" s="1"/>
  <c r="I20" i="18"/>
  <c r="J20" i="18" s="1"/>
  <c r="I205" i="18"/>
  <c r="J205" i="18" s="1"/>
  <c r="L205" i="18" s="1"/>
  <c r="I211" i="18"/>
  <c r="J211" i="18" s="1"/>
  <c r="L211" i="18" s="1"/>
  <c r="I150" i="18"/>
  <c r="J150" i="18" s="1"/>
  <c r="L150" i="18" s="1"/>
  <c r="I168" i="18"/>
  <c r="J168" i="18" s="1"/>
  <c r="L168" i="18" s="1"/>
  <c r="I194" i="18"/>
  <c r="J194" i="18" s="1"/>
  <c r="L194" i="18" s="1"/>
  <c r="I101" i="18"/>
  <c r="J101" i="18" s="1"/>
  <c r="L101" i="18" s="1"/>
  <c r="I119" i="18"/>
  <c r="J119" i="18" s="1"/>
  <c r="L119" i="18" s="1"/>
  <c r="I76" i="18"/>
  <c r="J76" i="18" s="1"/>
  <c r="L76" i="18" s="1"/>
  <c r="I139" i="18"/>
  <c r="J139" i="18" s="1"/>
  <c r="L139" i="18" s="1"/>
  <c r="I167" i="18"/>
  <c r="J167" i="18" s="1"/>
  <c r="L167" i="18" s="1"/>
  <c r="I28" i="18"/>
  <c r="J28" i="18" s="1"/>
  <c r="L28" i="18" s="1"/>
  <c r="I106" i="18"/>
  <c r="J106" i="18" s="1"/>
  <c r="L106" i="18" s="1"/>
  <c r="I159" i="18"/>
  <c r="J159" i="18" s="1"/>
  <c r="L159" i="18" s="1"/>
  <c r="I206" i="18"/>
  <c r="J206" i="18" s="1"/>
  <c r="L206" i="18" s="1"/>
  <c r="I165" i="18"/>
  <c r="J165" i="18" s="1"/>
  <c r="L165" i="18" s="1"/>
  <c r="I200" i="18"/>
  <c r="J200" i="18" s="1"/>
  <c r="L200" i="18" s="1"/>
  <c r="I201" i="18"/>
  <c r="J201" i="18" s="1"/>
  <c r="L201" i="18" s="1"/>
  <c r="I45" i="18"/>
  <c r="J45" i="18" s="1"/>
  <c r="L45" i="18" s="1"/>
  <c r="I24" i="18"/>
  <c r="J24" i="18" s="1"/>
  <c r="L24" i="18" s="1"/>
  <c r="I94" i="18"/>
  <c r="J94" i="18" s="1"/>
  <c r="L94" i="18" s="1"/>
  <c r="I147" i="18"/>
  <c r="J147" i="18" s="1"/>
  <c r="L147" i="18" s="1"/>
  <c r="I143" i="18"/>
  <c r="J143" i="18" s="1"/>
  <c r="L143" i="18" s="1"/>
  <c r="I207" i="18"/>
  <c r="J207" i="18" s="1"/>
  <c r="L207" i="18" s="1"/>
  <c r="I126" i="18"/>
  <c r="J126" i="18" s="1"/>
  <c r="L126" i="18" s="1"/>
  <c r="I80" i="18"/>
  <c r="J80" i="18" s="1"/>
  <c r="L80" i="18" s="1"/>
  <c r="I46" i="18"/>
  <c r="J46" i="18" s="1"/>
  <c r="L46" i="18" s="1"/>
  <c r="I93" i="18"/>
  <c r="J93" i="18" s="1"/>
  <c r="L93" i="18" s="1"/>
  <c r="I140" i="18"/>
  <c r="J140" i="18" s="1"/>
  <c r="L140" i="18" s="1"/>
  <c r="I35" i="18"/>
  <c r="J35" i="18" s="1"/>
  <c r="L35" i="18" s="1"/>
  <c r="I122" i="18"/>
  <c r="J122" i="18" s="1"/>
  <c r="L122" i="18" s="1"/>
  <c r="I203" i="18"/>
  <c r="J203" i="18" s="1"/>
  <c r="L203" i="18" s="1"/>
  <c r="I114" i="18"/>
  <c r="J114" i="18" s="1"/>
  <c r="L114" i="18" s="1"/>
  <c r="I154" i="18"/>
  <c r="J154" i="18" s="1"/>
  <c r="L154" i="18" s="1"/>
  <c r="I155" i="18"/>
  <c r="J155" i="18" s="1"/>
  <c r="L155" i="18" s="1"/>
  <c r="J212" i="18" l="1"/>
  <c r="J14" i="18"/>
  <c r="L20" i="18"/>
  <c r="J13" i="18"/>
  <c r="L56" i="18"/>
  <c r="L13" i="18" l="1"/>
  <c r="L212" i="18"/>
  <c r="L14" i="18"/>
  <c r="M21" i="18" l="1"/>
  <c r="N21" i="18" s="1"/>
  <c r="R21" i="18" s="1"/>
  <c r="M92" i="18"/>
  <c r="N92" i="18" s="1"/>
  <c r="R92" i="18" s="1"/>
  <c r="M98" i="18"/>
  <c r="N98" i="18" s="1"/>
  <c r="R98" i="18" s="1"/>
  <c r="M211" i="18"/>
  <c r="N211" i="18" s="1"/>
  <c r="R211" i="18" s="1"/>
  <c r="M126" i="18"/>
  <c r="N126" i="18" s="1"/>
  <c r="R126" i="18" s="1"/>
  <c r="M107" i="18"/>
  <c r="N107" i="18" s="1"/>
  <c r="R107" i="18" s="1"/>
  <c r="M129" i="18"/>
  <c r="N129" i="18" s="1"/>
  <c r="R129" i="18" s="1"/>
  <c r="M82" i="18"/>
  <c r="N82" i="18" s="1"/>
  <c r="R82" i="18" s="1"/>
  <c r="M41" i="18"/>
  <c r="N41" i="18" s="1"/>
  <c r="R41" i="18" s="1"/>
  <c r="M207" i="18"/>
  <c r="N207" i="18" s="1"/>
  <c r="R207" i="18" s="1"/>
  <c r="M146" i="18"/>
  <c r="N146" i="18" s="1"/>
  <c r="R146" i="18" s="1"/>
  <c r="M73" i="18"/>
  <c r="N73" i="18" s="1"/>
  <c r="R73" i="18" s="1"/>
  <c r="M58" i="18"/>
  <c r="N58" i="18" s="1"/>
  <c r="R58" i="18" s="1"/>
  <c r="M149" i="18"/>
  <c r="N149" i="18" s="1"/>
  <c r="R149" i="18" s="1"/>
  <c r="M148" i="18"/>
  <c r="N148" i="18" s="1"/>
  <c r="R148" i="18" s="1"/>
  <c r="M173" i="18"/>
  <c r="N173" i="18" s="1"/>
  <c r="R173" i="18" s="1"/>
  <c r="M102" i="18"/>
  <c r="N102" i="18" s="1"/>
  <c r="R102" i="18" s="1"/>
  <c r="M122" i="18"/>
  <c r="N122" i="18" s="1"/>
  <c r="R122" i="18" s="1"/>
  <c r="M64" i="18"/>
  <c r="N64" i="18" s="1"/>
  <c r="R64" i="18" s="1"/>
  <c r="M185" i="18"/>
  <c r="N185" i="18" s="1"/>
  <c r="R185" i="18" s="1"/>
  <c r="M124" i="18"/>
  <c r="N124" i="18" s="1"/>
  <c r="R124" i="18" s="1"/>
  <c r="M206" i="18"/>
  <c r="N206" i="18" s="1"/>
  <c r="R206" i="18" s="1"/>
  <c r="M35" i="18"/>
  <c r="N35" i="18" s="1"/>
  <c r="R35" i="18" s="1"/>
  <c r="M170" i="18"/>
  <c r="N170" i="18" s="1"/>
  <c r="R170" i="18" s="1"/>
  <c r="M78" i="18"/>
  <c r="N78" i="18" s="1"/>
  <c r="R78" i="18" s="1"/>
  <c r="M180" i="18"/>
  <c r="N180" i="18" s="1"/>
  <c r="R180" i="18" s="1"/>
  <c r="M83" i="18"/>
  <c r="N83" i="18" s="1"/>
  <c r="R83" i="18" s="1"/>
  <c r="M187" i="18"/>
  <c r="N187" i="18" s="1"/>
  <c r="R187" i="18" s="1"/>
  <c r="M137" i="18"/>
  <c r="N137" i="18" s="1"/>
  <c r="R137" i="18" s="1"/>
  <c r="M157" i="18"/>
  <c r="N157" i="18" s="1"/>
  <c r="R157" i="18" s="1"/>
  <c r="M45" i="18"/>
  <c r="N45" i="18" s="1"/>
  <c r="R45" i="18" s="1"/>
  <c r="M132" i="18"/>
  <c r="N132" i="18" s="1"/>
  <c r="R132" i="18" s="1"/>
  <c r="M75" i="18"/>
  <c r="N75" i="18" s="1"/>
  <c r="R75" i="18" s="1"/>
  <c r="M150" i="18"/>
  <c r="N150" i="18" s="1"/>
  <c r="R150" i="18" s="1"/>
  <c r="M115" i="18"/>
  <c r="N115" i="18" s="1"/>
  <c r="R115" i="18" s="1"/>
  <c r="M72" i="18"/>
  <c r="N72" i="18" s="1"/>
  <c r="R72" i="18" s="1"/>
  <c r="M65" i="18"/>
  <c r="N65" i="18" s="1"/>
  <c r="R65" i="18" s="1"/>
  <c r="M191" i="18"/>
  <c r="N191" i="18" s="1"/>
  <c r="R191" i="18" s="1"/>
  <c r="M204" i="18"/>
  <c r="N204" i="18" s="1"/>
  <c r="R204" i="18" s="1"/>
  <c r="M210" i="18"/>
  <c r="N210" i="18" s="1"/>
  <c r="R210" i="18" s="1"/>
  <c r="M140" i="18"/>
  <c r="N140" i="18" s="1"/>
  <c r="R140" i="18" s="1"/>
  <c r="M113" i="18"/>
  <c r="N113" i="18" s="1"/>
  <c r="R113" i="18" s="1"/>
  <c r="M196" i="18"/>
  <c r="N196" i="18" s="1"/>
  <c r="R196" i="18" s="1"/>
  <c r="M135" i="18"/>
  <c r="N135" i="18" s="1"/>
  <c r="R135" i="18" s="1"/>
  <c r="M26" i="18"/>
  <c r="N26" i="18" s="1"/>
  <c r="R26" i="18" s="1"/>
  <c r="M198" i="18"/>
  <c r="N198" i="18" s="1"/>
  <c r="R198" i="18" s="1"/>
  <c r="M37" i="18"/>
  <c r="N37" i="18" s="1"/>
  <c r="R37" i="18" s="1"/>
  <c r="M56" i="18"/>
  <c r="M101" i="18"/>
  <c r="N101" i="18" s="1"/>
  <c r="R101" i="18" s="1"/>
  <c r="M29" i="18"/>
  <c r="N29" i="18" s="1"/>
  <c r="R29" i="18" s="1"/>
  <c r="M79" i="18"/>
  <c r="N79" i="18" s="1"/>
  <c r="R79" i="18" s="1"/>
  <c r="M48" i="18"/>
  <c r="N48" i="18" s="1"/>
  <c r="R48" i="18" s="1"/>
  <c r="M177" i="18"/>
  <c r="N177" i="18" s="1"/>
  <c r="R177" i="18" s="1"/>
  <c r="M22" i="18"/>
  <c r="N22" i="18" s="1"/>
  <c r="R22" i="18" s="1"/>
  <c r="M50" i="18"/>
  <c r="N50" i="18" s="1"/>
  <c r="R50" i="18" s="1"/>
  <c r="M130" i="18"/>
  <c r="N130" i="18" s="1"/>
  <c r="R130" i="18" s="1"/>
  <c r="M209" i="18"/>
  <c r="N209" i="18" s="1"/>
  <c r="R209" i="18" s="1"/>
  <c r="M42" i="18"/>
  <c r="N42" i="18" s="1"/>
  <c r="R42" i="18" s="1"/>
  <c r="M127" i="18"/>
  <c r="N127" i="18" s="1"/>
  <c r="R127" i="18" s="1"/>
  <c r="M182" i="18"/>
  <c r="N182" i="18" s="1"/>
  <c r="R182" i="18" s="1"/>
  <c r="M104" i="18"/>
  <c r="N104" i="18" s="1"/>
  <c r="R104" i="18" s="1"/>
  <c r="M162" i="18"/>
  <c r="N162" i="18" s="1"/>
  <c r="R162" i="18" s="1"/>
  <c r="M46" i="18"/>
  <c r="N46" i="18" s="1"/>
  <c r="R46" i="18" s="1"/>
  <c r="M190" i="18"/>
  <c r="N190" i="18" s="1"/>
  <c r="R190" i="18" s="1"/>
  <c r="M193" i="18"/>
  <c r="N193" i="18" s="1"/>
  <c r="R193" i="18" s="1"/>
  <c r="M108" i="18"/>
  <c r="N108" i="18" s="1"/>
  <c r="R108" i="18" s="1"/>
  <c r="M62" i="18"/>
  <c r="N62" i="18" s="1"/>
  <c r="R62" i="18" s="1"/>
  <c r="M33" i="18"/>
  <c r="N33" i="18" s="1"/>
  <c r="R33" i="18" s="1"/>
  <c r="M156" i="18"/>
  <c r="N156" i="18" s="1"/>
  <c r="R156" i="18" s="1"/>
  <c r="M52" i="18"/>
  <c r="N52" i="18" s="1"/>
  <c r="R52" i="18" s="1"/>
  <c r="M103" i="18"/>
  <c r="N103" i="18" s="1"/>
  <c r="R103" i="18" s="1"/>
  <c r="M194" i="18"/>
  <c r="N194" i="18" s="1"/>
  <c r="R194" i="18" s="1"/>
  <c r="M136" i="18"/>
  <c r="N136" i="18" s="1"/>
  <c r="R136" i="18" s="1"/>
  <c r="M120" i="18"/>
  <c r="N120" i="18" s="1"/>
  <c r="R120" i="18" s="1"/>
  <c r="M165" i="18"/>
  <c r="N165" i="18" s="1"/>
  <c r="R165" i="18" s="1"/>
  <c r="M161" i="18"/>
  <c r="N161" i="18" s="1"/>
  <c r="R161" i="18" s="1"/>
  <c r="M197" i="18"/>
  <c r="N197" i="18" s="1"/>
  <c r="R197" i="18" s="1"/>
  <c r="M134" i="18"/>
  <c r="N134" i="18" s="1"/>
  <c r="R134" i="18" s="1"/>
  <c r="M97" i="18"/>
  <c r="N97" i="18" s="1"/>
  <c r="R97" i="18" s="1"/>
  <c r="M133" i="18"/>
  <c r="N133" i="18" s="1"/>
  <c r="R133" i="18" s="1"/>
  <c r="M164" i="18"/>
  <c r="N164" i="18" s="1"/>
  <c r="R164" i="18" s="1"/>
  <c r="M95" i="18"/>
  <c r="N95" i="18" s="1"/>
  <c r="R95" i="18" s="1"/>
  <c r="M200" i="18"/>
  <c r="N200" i="18" s="1"/>
  <c r="R200" i="18" s="1"/>
  <c r="M114" i="18"/>
  <c r="N114" i="18" s="1"/>
  <c r="R114" i="18" s="1"/>
  <c r="M145" i="18"/>
  <c r="N145" i="18" s="1"/>
  <c r="R145" i="18" s="1"/>
  <c r="M125" i="18"/>
  <c r="N125" i="18" s="1"/>
  <c r="R125" i="18" s="1"/>
  <c r="M172" i="18"/>
  <c r="N172" i="18" s="1"/>
  <c r="R172" i="18" s="1"/>
  <c r="M68" i="18"/>
  <c r="N68" i="18" s="1"/>
  <c r="R68" i="18" s="1"/>
  <c r="M40" i="18"/>
  <c r="N40" i="18" s="1"/>
  <c r="R40" i="18" s="1"/>
  <c r="M174" i="18"/>
  <c r="N174" i="18" s="1"/>
  <c r="R174" i="18" s="1"/>
  <c r="M94" i="18"/>
  <c r="N94" i="18" s="1"/>
  <c r="R94" i="18" s="1"/>
  <c r="M112" i="18"/>
  <c r="N112" i="18" s="1"/>
  <c r="R112" i="18" s="1"/>
  <c r="M199" i="18"/>
  <c r="N199" i="18" s="1"/>
  <c r="R199" i="18" s="1"/>
  <c r="M109" i="18"/>
  <c r="N109" i="18" s="1"/>
  <c r="R109" i="18" s="1"/>
  <c r="M88" i="18"/>
  <c r="N88" i="18" s="1"/>
  <c r="R88" i="18" s="1"/>
  <c r="M27" i="18"/>
  <c r="N27" i="18" s="1"/>
  <c r="R27" i="18" s="1"/>
  <c r="M160" i="18"/>
  <c r="N160" i="18" s="1"/>
  <c r="R160" i="18" s="1"/>
  <c r="M184" i="18"/>
  <c r="N184" i="18" s="1"/>
  <c r="R184" i="18" s="1"/>
  <c r="M192" i="18"/>
  <c r="N192" i="18" s="1"/>
  <c r="R192" i="18" s="1"/>
  <c r="M155" i="18"/>
  <c r="N155" i="18" s="1"/>
  <c r="R155" i="18" s="1"/>
  <c r="M178" i="18"/>
  <c r="N178" i="18" s="1"/>
  <c r="R178" i="18" s="1"/>
  <c r="M169" i="18"/>
  <c r="N169" i="18" s="1"/>
  <c r="R169" i="18" s="1"/>
  <c r="M117" i="18"/>
  <c r="N117" i="18" s="1"/>
  <c r="R117" i="18" s="1"/>
  <c r="M143" i="18"/>
  <c r="N143" i="18" s="1"/>
  <c r="R143" i="18" s="1"/>
  <c r="M181" i="18"/>
  <c r="N181" i="18" s="1"/>
  <c r="R181" i="18" s="1"/>
  <c r="M80" i="18"/>
  <c r="N80" i="18" s="1"/>
  <c r="R80" i="18" s="1"/>
  <c r="M69" i="18"/>
  <c r="N69" i="18" s="1"/>
  <c r="R69" i="18" s="1"/>
  <c r="M154" i="18"/>
  <c r="N154" i="18" s="1"/>
  <c r="R154" i="18" s="1"/>
  <c r="M43" i="18"/>
  <c r="N43" i="18" s="1"/>
  <c r="R43" i="18" s="1"/>
  <c r="M183" i="18"/>
  <c r="N183" i="18" s="1"/>
  <c r="R183" i="18" s="1"/>
  <c r="M167" i="18"/>
  <c r="N167" i="18" s="1"/>
  <c r="R167" i="18" s="1"/>
  <c r="M86" i="18"/>
  <c r="N86" i="18" s="1"/>
  <c r="R86" i="18" s="1"/>
  <c r="M202" i="18"/>
  <c r="N202" i="18" s="1"/>
  <c r="R202" i="18" s="1"/>
  <c r="M85" i="18"/>
  <c r="N85" i="18" s="1"/>
  <c r="R85" i="18" s="1"/>
  <c r="M171" i="18"/>
  <c r="N171" i="18" s="1"/>
  <c r="R171" i="18" s="1"/>
  <c r="M36" i="18"/>
  <c r="N36" i="18" s="1"/>
  <c r="R36" i="18" s="1"/>
  <c r="M87" i="18"/>
  <c r="N87" i="18" s="1"/>
  <c r="R87" i="18" s="1"/>
  <c r="M93" i="18"/>
  <c r="N93" i="18" s="1"/>
  <c r="R93" i="18" s="1"/>
  <c r="M90" i="18"/>
  <c r="N90" i="18" s="1"/>
  <c r="R90" i="18" s="1"/>
  <c r="M189" i="18"/>
  <c r="N189" i="18" s="1"/>
  <c r="R189" i="18" s="1"/>
  <c r="M96" i="18"/>
  <c r="N96" i="18" s="1"/>
  <c r="R96" i="18" s="1"/>
  <c r="M23" i="18"/>
  <c r="N23" i="18" s="1"/>
  <c r="R23" i="18" s="1"/>
  <c r="M30" i="18"/>
  <c r="N30" i="18" s="1"/>
  <c r="R30" i="18" s="1"/>
  <c r="M24" i="18"/>
  <c r="N24" i="18" s="1"/>
  <c r="R24" i="18" s="1"/>
  <c r="M110" i="18"/>
  <c r="N110" i="18" s="1"/>
  <c r="R110" i="18" s="1"/>
  <c r="M54" i="18"/>
  <c r="N54" i="18" s="1"/>
  <c r="R54" i="18" s="1"/>
  <c r="M34" i="18"/>
  <c r="N34" i="18" s="1"/>
  <c r="R34" i="18" s="1"/>
  <c r="M201" i="18"/>
  <c r="N201" i="18" s="1"/>
  <c r="R201" i="18" s="1"/>
  <c r="M203" i="18"/>
  <c r="N203" i="18" s="1"/>
  <c r="R203" i="18" s="1"/>
  <c r="M77" i="18"/>
  <c r="N77" i="18" s="1"/>
  <c r="R77" i="18" s="1"/>
  <c r="M128" i="18"/>
  <c r="N128" i="18" s="1"/>
  <c r="R128" i="18" s="1"/>
  <c r="M166" i="18"/>
  <c r="N166" i="18" s="1"/>
  <c r="R166" i="18" s="1"/>
  <c r="M142" i="18"/>
  <c r="N142" i="18" s="1"/>
  <c r="R142" i="18" s="1"/>
  <c r="M32" i="18"/>
  <c r="N32" i="18" s="1"/>
  <c r="R32" i="18" s="1"/>
  <c r="M106" i="18"/>
  <c r="N106" i="18" s="1"/>
  <c r="R106" i="18" s="1"/>
  <c r="M151" i="18"/>
  <c r="N151" i="18" s="1"/>
  <c r="R151" i="18" s="1"/>
  <c r="M175" i="18"/>
  <c r="N175" i="18" s="1"/>
  <c r="R175" i="18" s="1"/>
  <c r="M205" i="18"/>
  <c r="N205" i="18" s="1"/>
  <c r="R205" i="18" s="1"/>
  <c r="M159" i="18"/>
  <c r="N159" i="18" s="1"/>
  <c r="R159" i="18" s="1"/>
  <c r="M105" i="18"/>
  <c r="N105" i="18" s="1"/>
  <c r="R105" i="18" s="1"/>
  <c r="M47" i="18"/>
  <c r="N47" i="18" s="1"/>
  <c r="R47" i="18" s="1"/>
  <c r="M89" i="18"/>
  <c r="N89" i="18" s="1"/>
  <c r="R89" i="18" s="1"/>
  <c r="M99" i="18"/>
  <c r="N99" i="18" s="1"/>
  <c r="R99" i="18" s="1"/>
  <c r="M138" i="18"/>
  <c r="N138" i="18" s="1"/>
  <c r="R138" i="18" s="1"/>
  <c r="M53" i="18"/>
  <c r="N53" i="18" s="1"/>
  <c r="R53" i="18" s="1"/>
  <c r="M144" i="18"/>
  <c r="N144" i="18" s="1"/>
  <c r="R144" i="18" s="1"/>
  <c r="M147" i="18"/>
  <c r="N147" i="18" s="1"/>
  <c r="R147" i="18" s="1"/>
  <c r="M111" i="18"/>
  <c r="N111" i="18" s="1"/>
  <c r="R111" i="18" s="1"/>
  <c r="M116" i="18"/>
  <c r="N116" i="18" s="1"/>
  <c r="R116" i="18" s="1"/>
  <c r="M71" i="18"/>
  <c r="N71" i="18" s="1"/>
  <c r="R71" i="18" s="1"/>
  <c r="M152" i="18"/>
  <c r="N152" i="18" s="1"/>
  <c r="R152" i="18" s="1"/>
  <c r="M57" i="18"/>
  <c r="N57" i="18" s="1"/>
  <c r="R57" i="18" s="1"/>
  <c r="M163" i="18"/>
  <c r="N163" i="18" s="1"/>
  <c r="R163" i="18" s="1"/>
  <c r="M39" i="18"/>
  <c r="N39" i="18" s="1"/>
  <c r="R39" i="18" s="1"/>
  <c r="M158" i="18"/>
  <c r="N158" i="18" s="1"/>
  <c r="R158" i="18" s="1"/>
  <c r="M49" i="18"/>
  <c r="N49" i="18" s="1"/>
  <c r="R49" i="18" s="1"/>
  <c r="M44" i="18"/>
  <c r="N44" i="18" s="1"/>
  <c r="R44" i="18" s="1"/>
  <c r="M61" i="18"/>
  <c r="N61" i="18" s="1"/>
  <c r="R61" i="18" s="1"/>
  <c r="M70" i="18"/>
  <c r="N70" i="18" s="1"/>
  <c r="R70" i="18" s="1"/>
  <c r="M28" i="18"/>
  <c r="N28" i="18" s="1"/>
  <c r="R28" i="18" s="1"/>
  <c r="M67" i="18"/>
  <c r="N67" i="18" s="1"/>
  <c r="R67" i="18" s="1"/>
  <c r="M168" i="18"/>
  <c r="N168" i="18" s="1"/>
  <c r="R168" i="18" s="1"/>
  <c r="M76" i="18"/>
  <c r="N76" i="18" s="1"/>
  <c r="R76" i="18" s="1"/>
  <c r="M66" i="18"/>
  <c r="N66" i="18" s="1"/>
  <c r="R66" i="18" s="1"/>
  <c r="M38" i="18"/>
  <c r="N38" i="18" s="1"/>
  <c r="R38" i="18" s="1"/>
  <c r="M91" i="18"/>
  <c r="N91" i="18" s="1"/>
  <c r="R91" i="18" s="1"/>
  <c r="M176" i="18"/>
  <c r="N176" i="18" s="1"/>
  <c r="R176" i="18" s="1"/>
  <c r="M63" i="18"/>
  <c r="N63" i="18" s="1"/>
  <c r="R63" i="18" s="1"/>
  <c r="M119" i="18"/>
  <c r="N119" i="18" s="1"/>
  <c r="R119" i="18" s="1"/>
  <c r="M208" i="18"/>
  <c r="N208" i="18" s="1"/>
  <c r="R208" i="18" s="1"/>
  <c r="M186" i="18"/>
  <c r="N186" i="18" s="1"/>
  <c r="R186" i="18" s="1"/>
  <c r="M60" i="18"/>
  <c r="N60" i="18" s="1"/>
  <c r="R60" i="18" s="1"/>
  <c r="M195" i="18"/>
  <c r="N195" i="18" s="1"/>
  <c r="R195" i="18" s="1"/>
  <c r="M25" i="18"/>
  <c r="N25" i="18" s="1"/>
  <c r="R25" i="18" s="1"/>
  <c r="M74" i="18"/>
  <c r="N74" i="18" s="1"/>
  <c r="R74" i="18" s="1"/>
  <c r="M20" i="18"/>
  <c r="M139" i="18"/>
  <c r="N139" i="18" s="1"/>
  <c r="R139" i="18" s="1"/>
  <c r="M153" i="18"/>
  <c r="N153" i="18" s="1"/>
  <c r="R153" i="18" s="1"/>
  <c r="M84" i="18"/>
  <c r="N84" i="18" s="1"/>
  <c r="R84" i="18" s="1"/>
  <c r="M188" i="18"/>
  <c r="N188" i="18" s="1"/>
  <c r="R188" i="18" s="1"/>
  <c r="M59" i="18"/>
  <c r="N59" i="18" s="1"/>
  <c r="R59" i="18" s="1"/>
  <c r="M121" i="18"/>
  <c r="N121" i="18" s="1"/>
  <c r="R121" i="18" s="1"/>
  <c r="M51" i="18"/>
  <c r="N51" i="18" s="1"/>
  <c r="R51" i="18" s="1"/>
  <c r="M55" i="18"/>
  <c r="N55" i="18" s="1"/>
  <c r="R55" i="18" s="1"/>
  <c r="M141" i="18"/>
  <c r="N141" i="18" s="1"/>
  <c r="R141" i="18" s="1"/>
  <c r="M31" i="18"/>
  <c r="N31" i="18" s="1"/>
  <c r="R31" i="18" s="1"/>
  <c r="M118" i="18"/>
  <c r="N118" i="18" s="1"/>
  <c r="R118" i="18" s="1"/>
  <c r="M179" i="18"/>
  <c r="N179" i="18" s="1"/>
  <c r="R179" i="18" s="1"/>
  <c r="M131" i="18"/>
  <c r="N131" i="18" s="1"/>
  <c r="R131" i="18" s="1"/>
  <c r="M100" i="18"/>
  <c r="N100" i="18" s="1"/>
  <c r="R100" i="18" s="1"/>
  <c r="M81" i="18"/>
  <c r="N81" i="18" s="1"/>
  <c r="R81" i="18" s="1"/>
  <c r="M123" i="18"/>
  <c r="N123" i="18" s="1"/>
  <c r="R123" i="18" s="1"/>
  <c r="M13" i="18" l="1"/>
  <c r="N56" i="18"/>
  <c r="M212" i="18"/>
  <c r="N20" i="18"/>
  <c r="R20" i="18" l="1"/>
  <c r="N14" i="18"/>
  <c r="R56" i="18"/>
  <c r="R13" i="18" s="1"/>
  <c r="N13" i="18"/>
  <c r="R212" i="18" l="1"/>
  <c r="R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<sst xmlns="http://schemas.openxmlformats.org/spreadsheetml/2006/main" count="418" uniqueCount="100">
  <si>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</si>
  <si>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</si>
  <si>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</si>
  <si>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</si>
  <si>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</si>
  <si>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</si>
  <si>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</si>
  <si>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</si>
  <si>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</si>
  <si>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</si>
  <si>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</si>
  <si>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</si>
  <si>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</si>
  <si>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</si>
  <si>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</si>
  <si>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</si>
  <si>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</si>
  <si>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</si>
  <si>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</si>
  <si>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</si>
  <si>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</si>
  <si>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</si>
  <si>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</si>
  <si>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</si>
  <si>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</si>
  <si>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</si>
  <si>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</si>
  <si>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</si>
  <si>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</si>
  <si>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</si>
  <si>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</si>
  <si>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</si>
  <si>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</si>
  <si>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</si>
  <si>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</si>
  <si>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</si>
  <si>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</si>
  <si>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</si>
  <si>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</si>
  <si>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</si>
  <si>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True-Up
(</t>
    </r>
    <r>
      <rPr>
        <sz val="10"/>
        <rFont val="Arial"/>
        <family val="2"/>
      </rPr>
      <t>w/o Interest)</t>
    </r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</si>
  <si>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</si>
  <si>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</si>
  <si>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</si>
  <si>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</si>
  <si>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Total
True-Up Surcharge / (Refund)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</si>
  <si>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</si>
  <si>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</si>
  <si>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</si>
  <si>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</si>
  <si>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</si>
  <si>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</si>
  <si>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</si>
  <si>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</si>
  <si>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</si>
  <si>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</si>
  <si>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</si>
  <si>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</si>
  <si>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</si>
  <si>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</si>
  <si>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</si>
  <si>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</si>
  <si>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</si>
  <si>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</si>
  <si>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</si>
  <si>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</si>
  <si>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</si>
  <si>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</si>
  <si>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</si>
  <si>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</si>
  <si>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</si>
  <si>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</si>
  <si>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</si>
  <si>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</si>
  <si>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</si>
  <si>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</si>
  <si>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</si>
  <si>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</si>
  <si>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</si>
  <si>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</si>
  <si>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</si>
  <si>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</si>
  <si>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</si>
  <si>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AEP Oklahoma Transco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</si>
  <si>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</si>
  <si>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</si>
  <si>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</si>
  <si>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</si>
  <si>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</si>
  <si>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</si>
  <si>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</si>
  <si>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</si>
  <si>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</si>
  <si>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</si>
  <si>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</si>
  <si>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</si>
  <si>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AEPTCo Formula Rate -- FERC Docket ER18-194</t>
  </si>
  <si>
    <t>Network Customer True-Up (Schedule 1 charges)</t>
  </si>
  <si>
    <t xml:space="preserve">    &lt;&lt; SOUTHWESTERN TRANSMISSION COMPANY &gt;&gt;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</si>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</sst>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6" fontId="0" fillId="0" borderId="0" xfId="1" applyNumberFormat="1" applyFont="1" applyProtection="1"/>
    <xf numFmtId="166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quotePrefix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1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1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2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1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1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1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3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2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4" xfId="0" applyNumberFormat="1" applyBorder="1" applyAlignment="1" applyProtection="1">
      <alignment horizontal="center"/>
    </xf>
    <xf numFmtId="14" fontId="1" fillId="0" borderId="34" xfId="0" applyNumberFormat="1" applyFont="1" applyFill="1" applyBorder="1" applyProtection="1"/>
    <xf numFmtId="14" fontId="7" fillId="2" borderId="34" xfId="0" applyNumberFormat="1" applyFont="1" applyFill="1" applyBorder="1" applyAlignment="1" applyProtection="1">
      <alignment horizontal="left"/>
    </xf>
    <xf numFmtId="0" fontId="0" fillId="0" borderId="34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4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64" fontId="1" fillId="0" borderId="33" xfId="0" applyNumberFormat="1" applyFont="1" applyBorder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4" fontId="4" fillId="0" borderId="14" xfId="0" quotePrefix="1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66" fontId="25" fillId="0" borderId="0" xfId="0" applyNumberFormat="1" applyFont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35" xfId="0" pivotButton="1" applyBorder="1" applyProtection="1"/>
    <xf numFmtId="0" fontId="0" fillId="0" borderId="37" xfId="0" applyBorder="1" applyProtection="1"/>
    <xf numFmtId="17" fontId="0" fillId="0" borderId="35" xfId="0" applyNumberFormat="1" applyBorder="1" applyProtection="1"/>
    <xf numFmtId="17" fontId="0" fillId="0" borderId="38" xfId="0" applyNumberFormat="1" applyBorder="1" applyProtection="1"/>
    <xf numFmtId="17" fontId="0" fillId="0" borderId="39" xfId="0" applyNumberFormat="1" applyBorder="1" applyProtection="1"/>
    <xf numFmtId="166" fontId="0" fillId="0" borderId="35" xfId="0" applyNumberFormat="1" applyBorder="1" applyProtection="1"/>
    <xf numFmtId="166" fontId="0" fillId="0" borderId="38" xfId="0" applyNumberFormat="1" applyBorder="1" applyProtection="1"/>
    <xf numFmtId="166" fontId="0" fillId="0" borderId="39" xfId="0" applyNumberFormat="1" applyBorder="1" applyProtection="1"/>
    <xf numFmtId="0" fontId="0" fillId="0" borderId="40" xfId="0" applyBorder="1" applyProtection="1"/>
    <xf numFmtId="0" fontId="0" fillId="0" borderId="41" xfId="0" applyBorder="1" applyProtection="1"/>
    <xf numFmtId="166" fontId="25" fillId="0" borderId="41" xfId="0" applyNumberFormat="1" applyFont="1" applyBorder="1" applyProtection="1"/>
    <xf numFmtId="166" fontId="25" fillId="0" borderId="42" xfId="0" applyNumberFormat="1" applyFont="1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166" fontId="25" fillId="0" borderId="35" xfId="0" applyNumberFormat="1" applyFont="1" applyBorder="1" applyProtection="1"/>
    <xf numFmtId="166" fontId="25" fillId="0" borderId="38" xfId="0" applyNumberFormat="1" applyFont="1" applyBorder="1" applyProtection="1"/>
    <xf numFmtId="166" fontId="25" fillId="0" borderId="39" xfId="0" applyNumberFormat="1" applyFont="1" applyBorder="1" applyProtection="1"/>
    <xf numFmtId="0" fontId="0" fillId="0" borderId="43" xfId="0" applyBorder="1" applyProtection="1"/>
    <xf numFmtId="0" fontId="0" fillId="0" borderId="44" xfId="0" applyBorder="1" applyProtection="1"/>
    <xf numFmtId="166" fontId="0" fillId="0" borderId="43" xfId="0" applyNumberFormat="1" applyBorder="1" applyProtection="1"/>
    <xf numFmtId="166" fontId="0" fillId="0" borderId="45" xfId="0" applyNumberFormat="1" applyBorder="1" applyProtection="1"/>
    <xf numFmtId="166" fontId="0" fillId="0" borderId="46" xfId="0" applyNumberForma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800.597306018521" createdVersion="6" refreshedVersion="8" recordCount="192" xr:uid="{00000000-000A-0000-FFFF-FFFFA2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4-12-02T00:00:00" count="180"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3-01-01T00:00:00" u="1"/>
        <d v="2023-02-01T00:00:00" u="1"/>
        <d v="2023-03-01T00:00:00" u="1"/>
        <d v="2023-04-01T00:00:00" u="1"/>
        <d v="2023-05-01T00:00:00" u="1"/>
        <d v="2023-06-01T00:00:00" u="1"/>
        <d v="2023-07-01T00:00:00" u="1"/>
        <d v="2023-08-01T00:00:00" u="1"/>
        <d v="2023-09-01T00:00:00" u="1"/>
        <d v="2023-10-01T00:00:00" u="1"/>
        <d v="2023-11-01T00:00:00" u="1"/>
        <d v="2023-12-01T00:00:00" u="1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4-02-05T00:00:00" maxDate="2025-01-04T00:00:00"/>
    </cacheField>
    <cacheField name="Payment Received*" numFmtId="14">
      <sharedItems containsSemiMixedTypes="0" containsNonDate="0" containsDate="1" containsString="0" minDate="2024-02-26T00:00:00" maxDate="2025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151"/>
    </cacheField>
    <cacheField name="Projected Rate (as Invoiced)" numFmtId="164">
      <sharedItems containsSemiMixedTypes="0" containsString="0" containsNumber="1" minValue="9.2845976559737667E-5" maxValue="9.2845976559737667E-5"/>
    </cacheField>
    <cacheField name="Actual True-Up Rate" numFmtId="164">
      <sharedItems containsSemiMixedTypes="0" containsString="0" containsNumber="1" minValue="4.7954991262174045E-4" maxValue="4.7954991262174045E-4"/>
    </cacheField>
    <cacheField name="True-Up Charge" numFmtId="164">
      <sharedItems containsSemiMixedTypes="0" containsString="0" containsNumber="1" minValue="4.7954991262174045E-4" maxValue="1.9906116872928445"/>
    </cacheField>
    <cacheField name="Invoiced*** Charge (proj.)" numFmtId="164">
      <sharedItems containsSemiMixedTypes="0" containsString="0" containsNumber="1" minValue="9.2845976559737667E-5" maxValue="0.38540364869947108"/>
    </cacheField>
    <cacheField name="True-Up w/o Interest" numFmtId="164">
      <sharedItems containsSemiMixedTypes="0" containsString="0" containsNumber="1" minValue="3.8670393606200277E-4" maxValue="1.6052080385933736"/>
    </cacheField>
    <cacheField name="Interest" numFmtId="164">
      <sharedItems containsSemiMixedTypes="0" containsString="0" containsNumber="1" minValue="3.23378821388597E-5" maxValue="0.13423454875840662"/>
    </cacheField>
    <cacheField name="2023 True Up Including Interest" numFmtId="164">
      <sharedItems containsSemiMixedTypes="0" containsString="0" containsNumber="1" minValue="4.1904181820086247E-4" maxValue="1.7394425873517803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4.1904181820086247E-4" maxValue="1.7394425873517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4-02-05T00:00:00"/>
    <d v="2024-02-26T00:00:00"/>
    <x v="0"/>
    <n v="9"/>
    <n v="3252"/>
    <n v="9.2845976559737667E-5"/>
    <n v="4.7954991262174045E-4"/>
    <n v="1.5594963158458999"/>
    <n v="0.30193511577226689"/>
    <n v="1.2575612000736329"/>
    <n v="0.10516279271557175"/>
    <n v="1.3627239927892048"/>
    <n v="0"/>
    <n v="0"/>
    <n v="0"/>
    <n v="1.3627239927892048"/>
  </r>
  <r>
    <x v="1"/>
    <d v="2024-03-05T00:00:00"/>
    <d v="2024-03-25T00:00:00"/>
    <x v="0"/>
    <n v="9"/>
    <n v="2338"/>
    <n v="9.2845976559737667E-5"/>
    <n v="4.7954991262174045E-4"/>
    <n v="1.1211876957096292"/>
    <n v="0.21707389319666667"/>
    <n v="0.90411380251296247"/>
    <n v="7.5605968440653981E-2"/>
    <n v="0.97971977095361651"/>
    <n v="0"/>
    <n v="0"/>
    <n v="0"/>
    <n v="0.97971977095361651"/>
  </r>
  <r>
    <x v="2"/>
    <d v="2024-04-03T00:00:00"/>
    <d v="2024-04-24T00:00:00"/>
    <x v="0"/>
    <n v="9"/>
    <n v="2216"/>
    <n v="9.2845976559737667E-5"/>
    <n v="4.7954991262174045E-4"/>
    <n v="1.0626826063697767"/>
    <n v="0.20574668405637866"/>
    <n v="0.8569359223133981"/>
    <n v="7.1660746819713086E-2"/>
    <n v="0.92859666913311123"/>
    <n v="0"/>
    <n v="0"/>
    <n v="0"/>
    <n v="0.92859666913311123"/>
  </r>
  <r>
    <x v="3"/>
    <d v="2024-05-03T00:00:00"/>
    <d v="2024-05-24T00:00:00"/>
    <x v="0"/>
    <n v="9"/>
    <n v="2777"/>
    <n v="9.2845976559737667E-5"/>
    <n v="4.7954991262174045E-4"/>
    <n v="1.3317101073505733"/>
    <n v="0.25783327690639152"/>
    <n v="1.0738768304441817"/>
    <n v="8.9802298699613384E-2"/>
    <n v="1.1636791291437951"/>
    <n v="0"/>
    <n v="0"/>
    <n v="0"/>
    <n v="1.1636791291437951"/>
  </r>
  <r>
    <x v="4"/>
    <d v="2024-06-05T00:00:00"/>
    <d v="2024-06-24T00:00:00"/>
    <x v="0"/>
    <n v="9"/>
    <n v="3245"/>
    <n v="9.2845976559737667E-5"/>
    <n v="4.7954991262174045E-4"/>
    <n v="1.5561394664575479"/>
    <n v="0.30128519393634873"/>
    <n v="1.2548542725211991"/>
    <n v="0.10493642754059972"/>
    <n v="1.3597907000617988"/>
    <n v="0"/>
    <n v="0"/>
    <n v="0"/>
    <n v="1.3597907000617988"/>
  </r>
  <r>
    <x v="5"/>
    <d v="2024-07-03T00:00:00"/>
    <d v="2024-07-24T00:00:00"/>
    <x v="0"/>
    <n v="9"/>
    <n v="4080"/>
    <n v="9.2845976559737667E-5"/>
    <n v="4.7954991262174045E-4"/>
    <n v="1.9565636434967011"/>
    <n v="0.37881158436372969"/>
    <n v="1.5777520591329715"/>
    <n v="0.13193855912654756"/>
    <n v="1.7096906182595191"/>
    <n v="0"/>
    <n v="0"/>
    <n v="0"/>
    <n v="1.7096906182595191"/>
  </r>
  <r>
    <x v="6"/>
    <d v="2024-08-05T00:00:00"/>
    <d v="2024-08-26T00:00:00"/>
    <x v="0"/>
    <n v="9"/>
    <n v="4149"/>
    <n v="9.2845976559737667E-5"/>
    <n v="4.7954991262174045E-4"/>
    <n v="1.9896525874676012"/>
    <n v="0.38521795674635156"/>
    <n v="1.6044346307212496"/>
    <n v="0.13416987299412889"/>
    <n v="1.7386045037153786"/>
    <n v="0"/>
    <n v="0"/>
    <n v="0"/>
    <n v="1.7386045037153786"/>
  </r>
  <r>
    <x v="7"/>
    <d v="2024-09-04T00:00:00"/>
    <d v="2024-09-24T00:00:00"/>
    <x v="0"/>
    <n v="9"/>
    <n v="4151"/>
    <n v="9.2845976559737667E-5"/>
    <n v="4.7954991262174045E-4"/>
    <n v="1.9906116872928445"/>
    <n v="0.38540364869947108"/>
    <n v="1.6052080385933736"/>
    <n v="0.13423454875840662"/>
    <n v="1.7394425873517803"/>
    <n v="0"/>
    <n v="0"/>
    <n v="0"/>
    <n v="1.7394425873517803"/>
  </r>
  <r>
    <x v="8"/>
    <d v="2024-10-03T00:00:00"/>
    <d v="2024-10-24T00:00:00"/>
    <x v="0"/>
    <n v="9"/>
    <n v="3859"/>
    <n v="9.2845976559737667E-5"/>
    <n v="4.7954991262174045E-4"/>
    <n v="1.8505831128072965"/>
    <n v="0.35829262354402763"/>
    <n v="1.4922904892632689"/>
    <n v="0.12479188717385958"/>
    <n v="1.6170823764371285"/>
    <n v="0"/>
    <n v="0"/>
    <n v="0"/>
    <n v="1.6170823764371285"/>
  </r>
  <r>
    <x v="9"/>
    <d v="2024-11-05T00:00:00"/>
    <d v="2024-11-25T00:00:00"/>
    <x v="0"/>
    <n v="9"/>
    <n v="3429"/>
    <n v="9.2845976559737667E-5"/>
    <n v="4.7954991262174045E-4"/>
    <n v="1.644376650379948"/>
    <n v="0.31836885362334044"/>
    <n v="1.3260077967566075"/>
    <n v="0.11088659785414992"/>
    <n v="1.4368943946107575"/>
    <n v="0"/>
    <n v="0"/>
    <n v="0"/>
    <n v="1.4368943946107575"/>
  </r>
  <r>
    <x v="10"/>
    <d v="2024-12-04T00:00:00"/>
    <d v="2024-12-24T00:00:00"/>
    <x v="0"/>
    <n v="9"/>
    <n v="2220"/>
    <n v="9.2845976559737667E-5"/>
    <n v="4.7954991262174045E-4"/>
    <n v="1.0646008060202639"/>
    <n v="0.20611806796261761"/>
    <n v="0.8584827380576463"/>
    <n v="7.1790098348268536E-2"/>
    <n v="0.93027283640591485"/>
    <n v="0"/>
    <n v="0"/>
    <n v="0"/>
    <n v="0.93027283640591485"/>
  </r>
  <r>
    <x v="11"/>
    <d v="2025-01-03T00:00:00"/>
    <d v="2025-01-24T00:00:00"/>
    <x v="0"/>
    <n v="9"/>
    <n v="2569"/>
    <n v="9.2845976559737667E-5"/>
    <n v="4.7954991262174045E-4"/>
    <n v="1.2319637255252511"/>
    <n v="0.23852131378196606"/>
    <n v="0.99344241174328507"/>
    <n v="8.3076019214730568E-2"/>
    <n v="1.0765184309580156"/>
    <n v="0"/>
    <n v="0"/>
    <n v="0"/>
    <n v="1.0765184309580156"/>
  </r>
  <r>
    <x v="0"/>
    <d v="2024-02-05T00:00:00"/>
    <d v="2024-02-26T00:00:00"/>
    <x v="1"/>
    <n v="9"/>
    <n v="3306"/>
    <n v="9.2845976559737667E-5"/>
    <n v="4.7954991262174045E-4"/>
    <n v="1.585392011127474"/>
    <n v="0.3069487985064927"/>
    <n v="1.2784432126209813"/>
    <n v="0.10690903835107017"/>
    <n v="1.3853522509720515"/>
    <n v="0"/>
    <n v="0"/>
    <n v="0"/>
    <n v="1.3853522509720515"/>
  </r>
  <r>
    <x v="1"/>
    <d v="2024-03-05T00:00:00"/>
    <d v="2024-03-25T00:00:00"/>
    <x v="1"/>
    <n v="9"/>
    <n v="2611"/>
    <n v="9.2845976559737667E-5"/>
    <n v="4.7954991262174045E-4"/>
    <n v="1.2521048218553643"/>
    <n v="0.24242084479747505"/>
    <n v="1.0096839770578891"/>
    <n v="8.4434210264562673E-2"/>
    <n v="1.0941181873224519"/>
    <n v="0"/>
    <n v="0"/>
    <n v="0"/>
    <n v="1.0941181873224519"/>
  </r>
  <r>
    <x v="2"/>
    <d v="2024-04-03T00:00:00"/>
    <d v="2024-04-24T00:00:00"/>
    <x v="1"/>
    <n v="9"/>
    <n v="2302"/>
    <n v="9.2845976559737667E-5"/>
    <n v="4.7954991262174045E-4"/>
    <n v="1.1039238988552464"/>
    <n v="0.21373143804051611"/>
    <n v="0.89019246081473036"/>
    <n v="7.4441804683655022E-2"/>
    <n v="0.96463426549838538"/>
    <n v="0"/>
    <n v="0"/>
    <n v="0"/>
    <n v="0.96463426549838538"/>
  </r>
  <r>
    <x v="3"/>
    <d v="2024-05-03T00:00:00"/>
    <d v="2024-05-24T00:00:00"/>
    <x v="1"/>
    <n v="9"/>
    <n v="2486"/>
    <n v="9.2845976559737667E-5"/>
    <n v="4.7954991262174045E-4"/>
    <n v="1.1921610827776468"/>
    <n v="0.23081509772750783"/>
    <n v="0.96134598505013891"/>
    <n v="8.0391974997205212E-2"/>
    <n v="1.0417379600473442"/>
    <n v="0"/>
    <n v="0"/>
    <n v="0"/>
    <n v="1.0417379600473442"/>
  </r>
  <r>
    <x v="4"/>
    <d v="2024-06-05T00:00:00"/>
    <d v="2024-06-24T00:00:00"/>
    <x v="1"/>
    <n v="9"/>
    <n v="2970"/>
    <n v="9.2845976559737667E-5"/>
    <n v="4.7954991262174045E-4"/>
    <n v="1.4242632404865692"/>
    <n v="0.27575255038242086"/>
    <n v="1.1485106901041484"/>
    <n v="9.6043509952413314E-2"/>
    <n v="1.2445542000565617"/>
    <n v="0"/>
    <n v="0"/>
    <n v="0"/>
    <n v="1.2445542000565617"/>
  </r>
  <r>
    <x v="5"/>
    <d v="2024-07-03T00:00:00"/>
    <d v="2024-07-24T00:00:00"/>
    <x v="1"/>
    <n v="9"/>
    <n v="3483"/>
    <n v="9.2845976559737667E-5"/>
    <n v="4.7954991262174045E-4"/>
    <n v="1.6702723456615221"/>
    <n v="0.32338253635756631"/>
    <n v="1.3468898093039559"/>
    <n v="0.11263284348964833"/>
    <n v="1.4595226527936043"/>
    <n v="0"/>
    <n v="0"/>
    <n v="0"/>
    <n v="1.4595226527936043"/>
  </r>
  <r>
    <x v="6"/>
    <d v="2024-08-05T00:00:00"/>
    <d v="2024-08-26T00:00:00"/>
    <x v="1"/>
    <n v="9"/>
    <n v="3510"/>
    <n v="9.2845976559737667E-5"/>
    <n v="4.7954991262174045E-4"/>
    <n v="1.683220193302309"/>
    <n v="0.32588937772467919"/>
    <n v="1.3573308155776298"/>
    <n v="0.11350596630739754"/>
    <n v="1.4708367818850274"/>
    <n v="0"/>
    <n v="0"/>
    <n v="0"/>
    <n v="1.4708367818850274"/>
  </r>
  <r>
    <x v="7"/>
    <d v="2024-09-04T00:00:00"/>
    <d v="2024-09-24T00:00:00"/>
    <x v="1"/>
    <n v="9"/>
    <n v="3574"/>
    <n v="9.2845976559737667E-5"/>
    <n v="4.7954991262174045E-4"/>
    <n v="1.7139113877101004"/>
    <n v="0.33183152022450241"/>
    <n v="1.3820798674855981"/>
    <n v="0.11557559076428457"/>
    <n v="1.4976554582498827"/>
    <n v="0"/>
    <n v="0"/>
    <n v="0"/>
    <n v="1.4976554582498827"/>
  </r>
  <r>
    <x v="8"/>
    <d v="2024-10-03T00:00:00"/>
    <d v="2024-10-24T00:00:00"/>
    <x v="1"/>
    <n v="9"/>
    <n v="3188"/>
    <n v="9.2845976559737667E-5"/>
    <n v="4.7954991262174045E-4"/>
    <n v="1.5288051214381086"/>
    <n v="0.29599297327244367"/>
    <n v="1.2328121481656651"/>
    <n v="0.10309316825868471"/>
    <n v="1.3359053164243497"/>
    <n v="0"/>
    <n v="0"/>
    <n v="0"/>
    <n v="1.3359053164243497"/>
  </r>
  <r>
    <x v="9"/>
    <d v="2024-11-05T00:00:00"/>
    <d v="2024-11-25T00:00:00"/>
    <x v="1"/>
    <n v="9"/>
    <n v="2793"/>
    <n v="9.2845976559737667E-5"/>
    <n v="4.7954991262174045E-4"/>
    <n v="1.3393829059525211"/>
    <n v="0.25931881253134731"/>
    <n v="1.0800640934211738"/>
    <n v="9.0319704813835153E-2"/>
    <n v="1.1703837982350089"/>
    <n v="0"/>
    <n v="0"/>
    <n v="0"/>
    <n v="1.1703837982350089"/>
  </r>
  <r>
    <x v="10"/>
    <d v="2024-12-04T00:00:00"/>
    <d v="2024-12-24T00:00:00"/>
    <x v="1"/>
    <n v="9"/>
    <n v="2339"/>
    <n v="9.2845976559737667E-5"/>
    <n v="4.7954991262174045E-4"/>
    <n v="1.121667245622251"/>
    <n v="0.2171667391732264"/>
    <n v="0.90450050644902458"/>
    <n v="7.5638306322792837E-2"/>
    <n v="0.98013881277181736"/>
    <n v="0"/>
    <n v="0"/>
    <n v="0"/>
    <n v="0.98013881277181736"/>
  </r>
  <r>
    <x v="11"/>
    <d v="2025-01-03T00:00:00"/>
    <d v="2025-01-24T00:00:00"/>
    <x v="1"/>
    <n v="9"/>
    <n v="2520"/>
    <n v="9.2845976559737667E-5"/>
    <n v="4.7954991262174045E-4"/>
    <n v="1.2084657798067859"/>
    <n v="0.23397186093053893"/>
    <n v="0.97449391887624703"/>
    <n v="8.1491462989926447E-2"/>
    <n v="1.0559853818661735"/>
    <n v="0"/>
    <n v="0"/>
    <n v="0"/>
    <n v="1.0559853818661735"/>
  </r>
  <r>
    <x v="0"/>
    <d v="2024-02-05T00:00:00"/>
    <d v="2024-02-26T00:00:00"/>
    <x v="2"/>
    <n v="9"/>
    <n v="216"/>
    <n v="9.2845976559737667E-5"/>
    <n v="4.7954991262174045E-4"/>
    <n v="0.10358278112629593"/>
    <n v="2.0054730936903336E-2"/>
    <n v="8.3528050189392591E-2"/>
    <n v="6.9849825419936963E-3"/>
    <n v="9.0513032731386292E-2"/>
    <n v="0"/>
    <n v="0"/>
    <n v="0"/>
    <n v="9.0513032731386292E-2"/>
  </r>
  <r>
    <x v="1"/>
    <d v="2024-03-05T00:00:00"/>
    <d v="2024-03-25T00:00:00"/>
    <x v="2"/>
    <n v="9"/>
    <n v="146"/>
    <n v="9.2845976559737667E-5"/>
    <n v="4.7954991262174045E-4"/>
    <n v="7.0014287242774101E-2"/>
    <n v="1.3555512577721699E-2"/>
    <n v="5.6458774665052405E-2"/>
    <n v="4.721330792273516E-3"/>
    <n v="6.1180105457325919E-2"/>
    <n v="0"/>
    <n v="0"/>
    <n v="0"/>
    <n v="6.1180105457325919E-2"/>
  </r>
  <r>
    <x v="2"/>
    <d v="2024-04-03T00:00:00"/>
    <d v="2024-04-24T00:00:00"/>
    <x v="2"/>
    <n v="9"/>
    <n v="113"/>
    <n v="9.2845976559737667E-5"/>
    <n v="4.7954991262174045E-4"/>
    <n v="5.4189140126256669E-2"/>
    <n v="1.0491595351250356E-2"/>
    <n v="4.3697544775006314E-2"/>
    <n v="3.6541806816911457E-3"/>
    <n v="4.7351725456697462E-2"/>
    <n v="0"/>
    <n v="0"/>
    <n v="0"/>
    <n v="4.7351725456697462E-2"/>
  </r>
  <r>
    <x v="3"/>
    <d v="2024-05-03T00:00:00"/>
    <d v="2024-05-24T00:00:00"/>
    <x v="2"/>
    <n v="9"/>
    <n v="76"/>
    <n v="9.2845976559737667E-5"/>
    <n v="4.7954991262174045E-4"/>
    <n v="3.6445793359252271E-2"/>
    <n v="7.0562942185400631E-3"/>
    <n v="2.9389499140712209E-2"/>
    <n v="2.4576790425533375E-3"/>
    <n v="3.1847178183265545E-2"/>
    <n v="0"/>
    <n v="0"/>
    <n v="0"/>
    <n v="3.1847178183265545E-2"/>
  </r>
  <r>
    <x v="4"/>
    <d v="2024-06-05T00:00:00"/>
    <d v="2024-06-24T00:00:00"/>
    <x v="2"/>
    <n v="9"/>
    <n v="120"/>
    <n v="9.2845976559737667E-5"/>
    <n v="4.7954991262174045E-4"/>
    <n v="5.7545989514608854E-2"/>
    <n v="1.114151718716852E-2"/>
    <n v="4.6404472327440334E-2"/>
    <n v="3.880545856663164E-3"/>
    <n v="5.0285018184103497E-2"/>
    <n v="0"/>
    <n v="0"/>
    <n v="0"/>
    <n v="5.0285018184103497E-2"/>
  </r>
  <r>
    <x v="5"/>
    <d v="2024-07-03T00:00:00"/>
    <d v="2024-07-24T00:00:00"/>
    <x v="2"/>
    <n v="9"/>
    <n v="147"/>
    <n v="9.2845976559737667E-5"/>
    <n v="4.7954991262174045E-4"/>
    <n v="7.0493837155395853E-2"/>
    <n v="1.3648358554281438E-2"/>
    <n v="5.6845478601114413E-2"/>
    <n v="4.7536686744123757E-3"/>
    <n v="6.1599147275526789E-2"/>
    <n v="0"/>
    <n v="0"/>
    <n v="0"/>
    <n v="6.1599147275526789E-2"/>
  </r>
  <r>
    <x v="6"/>
    <d v="2024-08-05T00:00:00"/>
    <d v="2024-08-26T00:00:00"/>
    <x v="2"/>
    <n v="9"/>
    <n v="155"/>
    <n v="9.2845976559737667E-5"/>
    <n v="4.7954991262174045E-4"/>
    <n v="7.4330236456369769E-2"/>
    <n v="1.4391126366759339E-2"/>
    <n v="5.9939110089610434E-2"/>
    <n v="5.0123717315232533E-3"/>
    <n v="6.4951481821133694E-2"/>
    <n v="0"/>
    <n v="0"/>
    <n v="0"/>
    <n v="6.4951481821133694E-2"/>
  </r>
  <r>
    <x v="7"/>
    <d v="2024-09-04T00:00:00"/>
    <d v="2024-09-24T00:00:00"/>
    <x v="2"/>
    <n v="9"/>
    <n v="157"/>
    <n v="9.2845976559737667E-5"/>
    <n v="4.7954991262174045E-4"/>
    <n v="7.5289336281613245E-2"/>
    <n v="1.4576818319878814E-2"/>
    <n v="6.0712517961734429E-2"/>
    <n v="5.0770474958009727E-3"/>
    <n v="6.5789565457535407E-2"/>
    <n v="0"/>
    <n v="0"/>
    <n v="0"/>
    <n v="6.5789565457535407E-2"/>
  </r>
  <r>
    <x v="8"/>
    <d v="2024-10-03T00:00:00"/>
    <d v="2024-10-24T00:00:00"/>
    <x v="2"/>
    <n v="9"/>
    <n v="126"/>
    <n v="9.2845976559737667E-5"/>
    <n v="4.7954991262174045E-4"/>
    <n v="6.0423288990339295E-2"/>
    <n v="1.1698593046526946E-2"/>
    <n v="4.8724695943812346E-2"/>
    <n v="4.0745731494963222E-3"/>
    <n v="5.2799269093308669E-2"/>
    <n v="0"/>
    <n v="0"/>
    <n v="0"/>
    <n v="5.2799269093308669E-2"/>
  </r>
  <r>
    <x v="9"/>
    <d v="2024-11-05T00:00:00"/>
    <d v="2024-11-25T00:00:00"/>
    <x v="2"/>
    <n v="9"/>
    <n v="112"/>
    <n v="9.2845976559737667E-5"/>
    <n v="4.7954991262174045E-4"/>
    <n v="5.3709590213634931E-2"/>
    <n v="1.0398749374690619E-2"/>
    <n v="4.3310840838944313E-2"/>
    <n v="3.6218427995522865E-3"/>
    <n v="4.6932683638496599E-2"/>
    <n v="0"/>
    <n v="0"/>
    <n v="0"/>
    <n v="4.6932683638496599E-2"/>
  </r>
  <r>
    <x v="10"/>
    <d v="2024-12-04T00:00:00"/>
    <d v="2024-12-24T00:00:00"/>
    <x v="2"/>
    <n v="9"/>
    <n v="93"/>
    <n v="9.2845976559737667E-5"/>
    <n v="4.7954991262174045E-4"/>
    <n v="4.4598141873821863E-2"/>
    <n v="8.6346758200556029E-3"/>
    <n v="3.5963466053766262E-2"/>
    <n v="3.0074230389139519E-3"/>
    <n v="3.8970889092680212E-2"/>
    <n v="0"/>
    <n v="0"/>
    <n v="0"/>
    <n v="3.8970889092680212E-2"/>
  </r>
  <r>
    <x v="11"/>
    <d v="2025-01-03T00:00:00"/>
    <d v="2025-01-24T00:00:00"/>
    <x v="2"/>
    <n v="9"/>
    <n v="128"/>
    <n v="9.2845976559737667E-5"/>
    <n v="4.7954991262174045E-4"/>
    <n v="6.1382388815582778E-2"/>
    <n v="1.1884284999646421E-2"/>
    <n v="4.9498103815936355E-2"/>
    <n v="4.1392489137740416E-3"/>
    <n v="5.3637352729710396E-2"/>
    <n v="0"/>
    <n v="0"/>
    <n v="0"/>
    <n v="5.3637352729710396E-2"/>
  </r>
  <r>
    <x v="0"/>
    <d v="2024-02-05T00:00:00"/>
    <d v="2024-02-26T00:00:00"/>
    <x v="3"/>
    <n v="9"/>
    <n v="1129"/>
    <n v="9.2845976559737667E-5"/>
    <n v="4.7954991262174045E-4"/>
    <n v="0.54141185134994496"/>
    <n v="0.10482310753594383"/>
    <n v="0.43658874381400115"/>
    <n v="3.6509468934772603E-2"/>
    <n v="0.47309821274877373"/>
    <n v="0"/>
    <n v="0"/>
    <n v="0"/>
    <n v="0.47309821274877373"/>
  </r>
  <r>
    <x v="1"/>
    <d v="2024-03-05T00:00:00"/>
    <d v="2024-03-25T00:00:00"/>
    <x v="3"/>
    <n v="9"/>
    <n v="739"/>
    <n v="9.2845976559737667E-5"/>
    <n v="4.7954991262174045E-4"/>
    <n v="0.35438738542746617"/>
    <n v="6.8613176677646132E-2"/>
    <n v="0.28577420874982007"/>
    <n v="2.3897694900617317E-2"/>
    <n v="0.3096719036504374"/>
    <n v="0"/>
    <n v="0"/>
    <n v="0"/>
    <n v="0.3096719036504374"/>
  </r>
  <r>
    <x v="2"/>
    <d v="2024-04-03T00:00:00"/>
    <d v="2024-04-24T00:00:00"/>
    <x v="3"/>
    <n v="9"/>
    <n v="642"/>
    <n v="9.2845976559737667E-5"/>
    <n v="4.7954991262174045E-4"/>
    <n v="0.30787104390315739"/>
    <n v="5.9607116951351583E-2"/>
    <n v="0.24826392695180582"/>
    <n v="2.0760920333147928E-2"/>
    <n v="0.26902484728495374"/>
    <n v="0"/>
    <n v="0"/>
    <n v="0"/>
    <n v="0.26902484728495374"/>
  </r>
  <r>
    <x v="3"/>
    <d v="2024-05-03T00:00:00"/>
    <d v="2024-05-24T00:00:00"/>
    <x v="3"/>
    <n v="9"/>
    <n v="581"/>
    <n v="9.2845976559737667E-5"/>
    <n v="4.7954991262174045E-4"/>
    <n v="0.27861849923323118"/>
    <n v="5.3943512381207585E-2"/>
    <n v="0.22467498685202358"/>
    <n v="1.8788309522677488E-2"/>
    <n v="0.24346329637470107"/>
    <n v="0"/>
    <n v="0"/>
    <n v="0"/>
    <n v="0.24346329637470107"/>
  </r>
  <r>
    <x v="4"/>
    <d v="2024-06-05T00:00:00"/>
    <d v="2024-06-24T00:00:00"/>
    <x v="3"/>
    <n v="9"/>
    <n v="753"/>
    <n v="9.2845976559737667E-5"/>
    <n v="4.7954991262174045E-4"/>
    <n v="0.36110108420417059"/>
    <n v="6.9913020349482463E-2"/>
    <n v="0.2911880638546881"/>
    <n v="2.4350425250561355E-2"/>
    <n v="0.31553848910524945"/>
    <n v="0"/>
    <n v="0"/>
    <n v="0"/>
    <n v="0.31553848910524945"/>
  </r>
  <r>
    <x v="5"/>
    <d v="2024-07-03T00:00:00"/>
    <d v="2024-07-24T00:00:00"/>
    <x v="3"/>
    <n v="9"/>
    <n v="1001"/>
    <n v="9.2845976559737667E-5"/>
    <n v="4.7954991262174045E-4"/>
    <n v="0.48002946253436218"/>
    <n v="9.29388225362974E-2"/>
    <n v="0.38709063999806481"/>
    <n v="3.2370220020998562E-2"/>
    <n v="0.41946086001906335"/>
    <n v="0"/>
    <n v="0"/>
    <n v="0"/>
    <n v="0.41946086001906335"/>
  </r>
  <r>
    <x v="6"/>
    <d v="2024-08-05T00:00:00"/>
    <d v="2024-08-26T00:00:00"/>
    <x v="3"/>
    <n v="9"/>
    <n v="961"/>
    <n v="9.2845976559737667E-5"/>
    <n v="4.7954991262174045E-4"/>
    <n v="0.46084746602949256"/>
    <n v="8.9224983473907893E-2"/>
    <n v="0.37162248255558467"/>
    <n v="3.1076704735444171E-2"/>
    <n v="0.40269918729102883"/>
    <n v="0"/>
    <n v="0"/>
    <n v="0"/>
    <n v="0.40269918729102883"/>
  </r>
  <r>
    <x v="7"/>
    <d v="2024-09-04T00:00:00"/>
    <d v="2024-09-24T00:00:00"/>
    <x v="3"/>
    <n v="9"/>
    <n v="1017"/>
    <n v="9.2845976559737667E-5"/>
    <n v="4.7954991262174045E-4"/>
    <n v="0.48770226113631004"/>
    <n v="9.4424358161253205E-2"/>
    <n v="0.39327790297505683"/>
    <n v="3.2887626135220317E-2"/>
    <n v="0.42616552911027716"/>
    <n v="0"/>
    <n v="0"/>
    <n v="0"/>
    <n v="0.42616552911027716"/>
  </r>
  <r>
    <x v="8"/>
    <d v="2024-10-03T00:00:00"/>
    <d v="2024-10-24T00:00:00"/>
    <x v="3"/>
    <n v="9"/>
    <n v="856"/>
    <n v="9.2845976559737667E-5"/>
    <n v="4.7954991262174045E-4"/>
    <n v="0.41049472520420982"/>
    <n v="7.9476155935135448E-2"/>
    <n v="0.33101856926907436"/>
    <n v="2.7681227110863901E-2"/>
    <n v="0.35869979637993826"/>
    <n v="0"/>
    <n v="0"/>
    <n v="0"/>
    <n v="0.35869979637993826"/>
  </r>
  <r>
    <x v="9"/>
    <d v="2024-11-05T00:00:00"/>
    <d v="2024-11-25T00:00:00"/>
    <x v="3"/>
    <n v="9"/>
    <n v="786"/>
    <n v="9.2845976559737667E-5"/>
    <n v="4.7954991262174045E-4"/>
    <n v="0.37692623132068798"/>
    <n v="7.2976937575953804E-2"/>
    <n v="0.30394929374473417"/>
    <n v="2.5417575361143724E-2"/>
    <n v="0.32936686910587787"/>
    <n v="0"/>
    <n v="0"/>
    <n v="0"/>
    <n v="0.32936686910587787"/>
  </r>
  <r>
    <x v="10"/>
    <d v="2024-12-04T00:00:00"/>
    <d v="2024-12-24T00:00:00"/>
    <x v="3"/>
    <n v="9"/>
    <n v="463"/>
    <n v="9.2845976559737667E-5"/>
    <n v="4.7954991262174045E-4"/>
    <n v="0.22203160954386583"/>
    <n v="4.2987687147158539E-2"/>
    <n v="0.1790439223967073"/>
    <n v="1.4972439430292042E-2"/>
    <n v="0.19401636182699933"/>
    <n v="0"/>
    <n v="0"/>
    <n v="0"/>
    <n v="0.19401636182699933"/>
  </r>
  <r>
    <x v="11"/>
    <d v="2025-01-03T00:00:00"/>
    <d v="2025-01-24T00:00:00"/>
    <x v="3"/>
    <n v="9"/>
    <n v="725"/>
    <n v="9.2845976559737667E-5"/>
    <n v="4.7954991262174045E-4"/>
    <n v="0.34767368665076182"/>
    <n v="6.7313333005809814E-2"/>
    <n v="0.28036035364495199"/>
    <n v="2.3444964550673283E-2"/>
    <n v="0.30380531819562528"/>
    <n v="0"/>
    <n v="0"/>
    <n v="0"/>
    <n v="0.30380531819562528"/>
  </r>
  <r>
    <x v="0"/>
    <d v="2024-02-05T00:00:00"/>
    <d v="2024-02-26T00:00:00"/>
    <x v="4"/>
    <n v="9"/>
    <n v="58"/>
    <n v="9.2845976559737667E-5"/>
    <n v="4.7954991262174045E-4"/>
    <n v="2.7813894932060948E-2"/>
    <n v="5.3850666404647845E-3"/>
    <n v="2.2428828291596162E-2"/>
    <n v="1.8755971640538624E-3"/>
    <n v="2.4304425455650026E-2"/>
    <n v="0"/>
    <n v="0"/>
    <n v="0"/>
    <n v="2.4304425455650026E-2"/>
  </r>
  <r>
    <x v="1"/>
    <d v="2024-03-05T00:00:00"/>
    <d v="2024-03-25T00:00:00"/>
    <x v="4"/>
    <n v="9"/>
    <n v="36"/>
    <n v="9.2845976559737667E-5"/>
    <n v="4.7954991262174045E-4"/>
    <n v="1.7263796854382656E-2"/>
    <n v="3.3424551561505558E-3"/>
    <n v="1.3921341698232101E-2"/>
    <n v="1.1641637569989492E-3"/>
    <n v="1.508550545523105E-2"/>
    <n v="0"/>
    <n v="0"/>
    <n v="0"/>
    <n v="1.508550545523105E-2"/>
  </r>
  <r>
    <x v="2"/>
    <d v="2024-04-03T00:00:00"/>
    <d v="2024-04-24T00:00:00"/>
    <x v="4"/>
    <n v="9"/>
    <n v="29"/>
    <n v="9.2845976559737667E-5"/>
    <n v="4.7954991262174045E-4"/>
    <n v="1.3906947466030474E-2"/>
    <n v="2.6925333202323922E-3"/>
    <n v="1.1214414145798081E-2"/>
    <n v="9.377985820269312E-4"/>
    <n v="1.2152212727825013E-2"/>
    <n v="0"/>
    <n v="0"/>
    <n v="0"/>
    <n v="1.2152212727825013E-2"/>
  </r>
  <r>
    <x v="3"/>
    <d v="2024-05-03T00:00:00"/>
    <d v="2024-05-24T00:00:00"/>
    <x v="4"/>
    <n v="9"/>
    <n v="27"/>
    <n v="9.2845976559737667E-5"/>
    <n v="4.7954991262174045E-4"/>
    <n v="1.2947847640786991E-2"/>
    <n v="2.506841367112917E-3"/>
    <n v="1.0441006273674074E-2"/>
    <n v="8.7312281774921203E-4"/>
    <n v="1.1314129091423287E-2"/>
    <n v="0"/>
    <n v="0"/>
    <n v="0"/>
    <n v="1.1314129091423287E-2"/>
  </r>
  <r>
    <x v="4"/>
    <d v="2024-06-05T00:00:00"/>
    <d v="2024-06-24T00:00:00"/>
    <x v="4"/>
    <n v="9"/>
    <n v="36"/>
    <n v="9.2845976559737667E-5"/>
    <n v="4.7954991262174045E-4"/>
    <n v="1.7263796854382656E-2"/>
    <n v="3.3424551561505558E-3"/>
    <n v="1.3921341698232101E-2"/>
    <n v="1.1641637569989492E-3"/>
    <n v="1.508550545523105E-2"/>
    <n v="0"/>
    <n v="0"/>
    <n v="0"/>
    <n v="1.508550545523105E-2"/>
  </r>
  <r>
    <x v="5"/>
    <d v="2024-07-03T00:00:00"/>
    <d v="2024-07-24T00:00:00"/>
    <x v="4"/>
    <n v="9"/>
    <n v="53"/>
    <n v="9.2845976559737667E-5"/>
    <n v="4.7954991262174045E-4"/>
    <n v="2.5416145368952245E-2"/>
    <n v="4.9208367576660961E-3"/>
    <n v="2.049530861128615E-2"/>
    <n v="1.7139077533595642E-3"/>
    <n v="2.2209216364645713E-2"/>
    <n v="0"/>
    <n v="0"/>
    <n v="0"/>
    <n v="2.2209216364645713E-2"/>
  </r>
  <r>
    <x v="6"/>
    <d v="2024-08-05T00:00:00"/>
    <d v="2024-08-26T00:00:00"/>
    <x v="4"/>
    <n v="9"/>
    <n v="53"/>
    <n v="9.2845976559737667E-5"/>
    <n v="4.7954991262174045E-4"/>
    <n v="2.5416145368952245E-2"/>
    <n v="4.9208367576660961E-3"/>
    <n v="2.049530861128615E-2"/>
    <n v="1.7139077533595642E-3"/>
    <n v="2.2209216364645713E-2"/>
    <n v="0"/>
    <n v="0"/>
    <n v="0"/>
    <n v="2.2209216364645713E-2"/>
  </r>
  <r>
    <x v="7"/>
    <d v="2024-09-04T00:00:00"/>
    <d v="2024-09-24T00:00:00"/>
    <x v="4"/>
    <n v="9"/>
    <n v="54"/>
    <n v="9.2845976559737667E-5"/>
    <n v="4.7954991262174045E-4"/>
    <n v="2.5895695281573983E-2"/>
    <n v="5.013682734225834E-3"/>
    <n v="2.0882012547348148E-2"/>
    <n v="1.7462456354984241E-3"/>
    <n v="2.2628258182846573E-2"/>
    <n v="0"/>
    <n v="0"/>
    <n v="0"/>
    <n v="2.2628258182846573E-2"/>
  </r>
  <r>
    <x v="8"/>
    <d v="2024-10-03T00:00:00"/>
    <d v="2024-10-24T00:00:00"/>
    <x v="4"/>
    <n v="9"/>
    <n v="48"/>
    <n v="9.2845976559737667E-5"/>
    <n v="4.7954991262174045E-4"/>
    <n v="2.3018395805843542E-2"/>
    <n v="4.4566068748674078E-3"/>
    <n v="1.8561788930976132E-2"/>
    <n v="1.5522183426652655E-3"/>
    <n v="2.0114007273641397E-2"/>
    <n v="0"/>
    <n v="0"/>
    <n v="0"/>
    <n v="2.0114007273641397E-2"/>
  </r>
  <r>
    <x v="9"/>
    <d v="2024-11-05T00:00:00"/>
    <d v="2024-11-25T00:00:00"/>
    <x v="4"/>
    <n v="9"/>
    <n v="41"/>
    <n v="9.2845976559737667E-5"/>
    <n v="4.7954991262174045E-4"/>
    <n v="1.9661546417491359E-2"/>
    <n v="3.8066850389492442E-3"/>
    <n v="1.5854861378542116E-2"/>
    <n v="1.3258531676932476E-3"/>
    <n v="1.7180714546235362E-2"/>
    <n v="0"/>
    <n v="0"/>
    <n v="0"/>
    <n v="1.7180714546235362E-2"/>
  </r>
  <r>
    <x v="10"/>
    <d v="2024-12-04T00:00:00"/>
    <d v="2024-12-24T00:00:00"/>
    <x v="4"/>
    <n v="9"/>
    <n v="22"/>
    <n v="9.2845976559737667E-5"/>
    <n v="4.7954991262174045E-4"/>
    <n v="1.055009807767829E-2"/>
    <n v="2.0426114843142286E-3"/>
    <n v="8.5074865933640609E-3"/>
    <n v="7.1143340705491335E-4"/>
    <n v="9.2189200004189741E-3"/>
    <n v="0"/>
    <n v="0"/>
    <n v="0"/>
    <n v="9.2189200004189741E-3"/>
  </r>
  <r>
    <x v="11"/>
    <d v="2025-01-03T00:00:00"/>
    <d v="2025-01-24T00:00:00"/>
    <x v="4"/>
    <n v="9"/>
    <n v="37"/>
    <n v="9.2845976559737667E-5"/>
    <n v="4.7954991262174045E-4"/>
    <n v="1.7743346767004398E-2"/>
    <n v="3.4353011327102937E-3"/>
    <n v="1.4308045634294103E-2"/>
    <n v="1.1965016391378089E-3"/>
    <n v="1.5504547273431913E-2"/>
    <n v="0"/>
    <n v="0"/>
    <n v="0"/>
    <n v="1.5504547273431913E-2"/>
  </r>
  <r>
    <x v="0"/>
    <d v="2024-02-05T00:00:00"/>
    <d v="2024-02-26T00:00:00"/>
    <x v="5"/>
    <n v="9"/>
    <n v="75"/>
    <n v="9.2845976559737667E-5"/>
    <n v="4.7954991262174045E-4"/>
    <n v="3.5966243446630533E-2"/>
    <n v="6.9634482419803252E-3"/>
    <n v="2.9002795204650208E-2"/>
    <n v="2.4253411604144774E-3"/>
    <n v="3.1428136365064682E-2"/>
    <n v="0"/>
    <n v="0"/>
    <n v="0"/>
    <n v="3.1428136365064682E-2"/>
  </r>
  <r>
    <x v="1"/>
    <d v="2024-03-05T00:00:00"/>
    <d v="2024-03-25T00:00:00"/>
    <x v="5"/>
    <n v="9"/>
    <n v="54"/>
    <n v="9.2845976559737667E-5"/>
    <n v="4.7954991262174045E-4"/>
    <n v="2.5895695281573983E-2"/>
    <n v="5.013682734225834E-3"/>
    <n v="2.0882012547348148E-2"/>
    <n v="1.7462456354984241E-3"/>
    <n v="2.2628258182846573E-2"/>
    <n v="0"/>
    <n v="0"/>
    <n v="0"/>
    <n v="2.2628258182846573E-2"/>
  </r>
  <r>
    <x v="2"/>
    <d v="2024-04-03T00:00:00"/>
    <d v="2024-04-24T00:00:00"/>
    <x v="5"/>
    <n v="9"/>
    <n v="49"/>
    <n v="9.2845976559737667E-5"/>
    <n v="4.7954991262174045E-4"/>
    <n v="2.3497945718465283E-2"/>
    <n v="4.5494528514271456E-3"/>
    <n v="1.8948492867038137E-2"/>
    <n v="1.5845562248041254E-3"/>
    <n v="2.0533049091842261E-2"/>
    <n v="0"/>
    <n v="0"/>
    <n v="0"/>
    <n v="2.0533049091842261E-2"/>
  </r>
  <r>
    <x v="3"/>
    <d v="2024-05-03T00:00:00"/>
    <d v="2024-05-24T00:00:00"/>
    <x v="5"/>
    <n v="9"/>
    <n v="43"/>
    <n v="9.2845976559737667E-5"/>
    <n v="4.7954991262174045E-4"/>
    <n v="2.0620646242734839E-2"/>
    <n v="3.9923769920687194E-3"/>
    <n v="1.6628269250666121E-2"/>
    <n v="1.390528931970967E-3"/>
    <n v="1.8018798182637089E-2"/>
    <n v="0"/>
    <n v="0"/>
    <n v="0"/>
    <n v="1.8018798182637089E-2"/>
  </r>
  <r>
    <x v="4"/>
    <d v="2024-06-05T00:00:00"/>
    <d v="2024-06-24T00:00:00"/>
    <x v="5"/>
    <n v="9"/>
    <n v="50"/>
    <n v="9.2845976559737667E-5"/>
    <n v="4.7954991262174045E-4"/>
    <n v="2.3977495631087024E-2"/>
    <n v="4.6422988279868835E-3"/>
    <n v="1.9335196803100141E-2"/>
    <n v="1.6168941069429851E-3"/>
    <n v="2.0952090910043127E-2"/>
    <n v="0"/>
    <n v="0"/>
    <n v="0"/>
    <n v="2.0952090910043127E-2"/>
  </r>
  <r>
    <x v="5"/>
    <d v="2024-07-03T00:00:00"/>
    <d v="2024-07-24T00:00:00"/>
    <x v="5"/>
    <n v="9"/>
    <n v="59"/>
    <n v="9.2845976559737667E-5"/>
    <n v="4.7954991262174045E-4"/>
    <n v="2.8293444844682686E-2"/>
    <n v="5.4779126170245223E-3"/>
    <n v="2.2815532227658163E-2"/>
    <n v="1.9079350461927223E-3"/>
    <n v="2.4723467273850885E-2"/>
    <n v="0"/>
    <n v="0"/>
    <n v="0"/>
    <n v="2.4723467273850885E-2"/>
  </r>
  <r>
    <x v="6"/>
    <d v="2024-08-05T00:00:00"/>
    <d v="2024-08-26T00:00:00"/>
    <x v="5"/>
    <n v="9"/>
    <n v="60"/>
    <n v="9.2845976559737667E-5"/>
    <n v="4.7954991262174045E-4"/>
    <n v="2.8772994757304427E-2"/>
    <n v="5.5707585935842602E-3"/>
    <n v="2.3202236163720167E-2"/>
    <n v="1.940272928331582E-3"/>
    <n v="2.5142509092051749E-2"/>
    <n v="0"/>
    <n v="0"/>
    <n v="0"/>
    <n v="2.5142509092051749E-2"/>
  </r>
  <r>
    <x v="7"/>
    <d v="2024-09-04T00:00:00"/>
    <d v="2024-09-24T00:00:00"/>
    <x v="5"/>
    <n v="9"/>
    <n v="56"/>
    <n v="9.2845976559737667E-5"/>
    <n v="4.7954991262174045E-4"/>
    <n v="2.6854795106817465E-2"/>
    <n v="5.1993746873453097E-3"/>
    <n v="2.1655420419472157E-2"/>
    <n v="1.8109213997761432E-3"/>
    <n v="2.3466341819248299E-2"/>
    <n v="0"/>
    <n v="0"/>
    <n v="0"/>
    <n v="2.3466341819248299E-2"/>
  </r>
  <r>
    <x v="8"/>
    <d v="2024-10-03T00:00:00"/>
    <d v="2024-10-24T00:00:00"/>
    <x v="5"/>
    <n v="9"/>
    <n v="55"/>
    <n v="9.2845976559737667E-5"/>
    <n v="4.7954991262174045E-4"/>
    <n v="2.6375245194195724E-2"/>
    <n v="5.1065287107855718E-3"/>
    <n v="2.1268716483410152E-2"/>
    <n v="1.7785835176372833E-3"/>
    <n v="2.3047300001047436E-2"/>
    <n v="0"/>
    <n v="0"/>
    <n v="0"/>
    <n v="2.3047300001047436E-2"/>
  </r>
  <r>
    <x v="9"/>
    <d v="2024-11-05T00:00:00"/>
    <d v="2024-11-25T00:00:00"/>
    <x v="5"/>
    <n v="9"/>
    <n v="51"/>
    <n v="9.2845976559737667E-5"/>
    <n v="4.7954991262174045E-4"/>
    <n v="2.4457045543708762E-2"/>
    <n v="4.7351448045466213E-3"/>
    <n v="1.9721900739162142E-2"/>
    <n v="1.6492319890818446E-3"/>
    <n v="2.1371132728243987E-2"/>
    <n v="0"/>
    <n v="0"/>
    <n v="0"/>
    <n v="2.1371132728243987E-2"/>
  </r>
  <r>
    <x v="10"/>
    <d v="2024-12-04T00:00:00"/>
    <d v="2024-12-24T00:00:00"/>
    <x v="5"/>
    <n v="9"/>
    <n v="40"/>
    <n v="9.2845976559737667E-5"/>
    <n v="4.7954991262174045E-4"/>
    <n v="1.9181996504869618E-2"/>
    <n v="3.7138390623895068E-3"/>
    <n v="1.5468157442480111E-2"/>
    <n v="1.2935152855543882E-3"/>
    <n v="1.6761672728034499E-2"/>
    <n v="0"/>
    <n v="0"/>
    <n v="0"/>
    <n v="1.6761672728034499E-2"/>
  </r>
  <r>
    <x v="11"/>
    <d v="2025-01-03T00:00:00"/>
    <d v="2025-01-24T00:00:00"/>
    <x v="5"/>
    <n v="9"/>
    <n v="51"/>
    <n v="9.2845976559737667E-5"/>
    <n v="4.7954991262174045E-4"/>
    <n v="2.4457045543708762E-2"/>
    <n v="4.7351448045466213E-3"/>
    <n v="1.9721900739162142E-2"/>
    <n v="1.6492319890818446E-3"/>
    <n v="2.1371132728243987E-2"/>
    <n v="0"/>
    <n v="0"/>
    <n v="0"/>
    <n v="2.1371132728243987E-2"/>
  </r>
  <r>
    <x v="0"/>
    <d v="2024-02-05T00:00:00"/>
    <d v="2024-02-26T00:00:00"/>
    <x v="6"/>
    <n v="9"/>
    <n v="94"/>
    <n v="9.2845976559737667E-5"/>
    <n v="4.7954991262174045E-4"/>
    <n v="4.5077691786443601E-2"/>
    <n v="8.7275217966153399E-3"/>
    <n v="3.6350169989828263E-2"/>
    <n v="3.039760921052812E-3"/>
    <n v="3.9389930910881076E-2"/>
    <n v="0"/>
    <n v="0"/>
    <n v="0"/>
    <n v="3.9389930910881076E-2"/>
  </r>
  <r>
    <x v="1"/>
    <d v="2024-03-05T00:00:00"/>
    <d v="2024-03-25T00:00:00"/>
    <x v="6"/>
    <n v="9"/>
    <n v="62"/>
    <n v="9.2845976559737667E-5"/>
    <n v="4.7954991262174045E-4"/>
    <n v="2.9732094582547906E-2"/>
    <n v="5.756450546703735E-3"/>
    <n v="2.3975644035844172E-2"/>
    <n v="2.0049486926093014E-3"/>
    <n v="2.5980592728453475E-2"/>
    <n v="0"/>
    <n v="0"/>
    <n v="0"/>
    <n v="2.5980592728453475E-2"/>
  </r>
  <r>
    <x v="2"/>
    <d v="2024-04-03T00:00:00"/>
    <d v="2024-04-24T00:00:00"/>
    <x v="6"/>
    <n v="9"/>
    <n v="60"/>
    <n v="9.2845976559737667E-5"/>
    <n v="4.7954991262174045E-4"/>
    <n v="2.8772994757304427E-2"/>
    <n v="5.5707585935842602E-3"/>
    <n v="2.3202236163720167E-2"/>
    <n v="1.940272928331582E-3"/>
    <n v="2.5142509092051749E-2"/>
    <n v="0"/>
    <n v="0"/>
    <n v="0"/>
    <n v="2.5142509092051749E-2"/>
  </r>
  <r>
    <x v="3"/>
    <d v="2024-05-03T00:00:00"/>
    <d v="2024-05-24T00:00:00"/>
    <x v="6"/>
    <n v="9"/>
    <n v="92"/>
    <n v="9.2845976559737667E-5"/>
    <n v="4.7954991262174045E-4"/>
    <n v="4.4118591961200118E-2"/>
    <n v="8.541829843495866E-3"/>
    <n v="3.5576762117704254E-2"/>
    <n v="2.9750851567750922E-3"/>
    <n v="3.8551847274479349E-2"/>
    <n v="0"/>
    <n v="0"/>
    <n v="0"/>
    <n v="3.8551847274479349E-2"/>
  </r>
  <r>
    <x v="4"/>
    <d v="2024-06-05T00:00:00"/>
    <d v="2024-06-24T00:00:00"/>
    <x v="6"/>
    <n v="9"/>
    <n v="118"/>
    <n v="9.2845976559737667E-5"/>
    <n v="4.7954991262174045E-4"/>
    <n v="5.6586889689365372E-2"/>
    <n v="1.0955825234049045E-2"/>
    <n v="4.5631064455316325E-2"/>
    <n v="3.8158700923854446E-3"/>
    <n v="4.9446934547701771E-2"/>
    <n v="0"/>
    <n v="0"/>
    <n v="0"/>
    <n v="4.9446934547701771E-2"/>
  </r>
  <r>
    <x v="5"/>
    <d v="2024-07-03T00:00:00"/>
    <d v="2024-07-24T00:00:00"/>
    <x v="6"/>
    <n v="9"/>
    <n v="143"/>
    <n v="9.2845976559737667E-5"/>
    <n v="4.7954991262174045E-4"/>
    <n v="6.8575637504908887E-2"/>
    <n v="1.3276974648042486E-2"/>
    <n v="5.5298662856866403E-2"/>
    <n v="4.624317145856937E-3"/>
    <n v="5.9922980002723336E-2"/>
    <n v="0"/>
    <n v="0"/>
    <n v="0"/>
    <n v="5.9922980002723336E-2"/>
  </r>
  <r>
    <x v="6"/>
    <d v="2024-08-05T00:00:00"/>
    <d v="2024-08-26T00:00:00"/>
    <x v="6"/>
    <n v="9"/>
    <n v="151"/>
    <n v="9.2845976559737667E-5"/>
    <n v="4.7954991262174045E-4"/>
    <n v="7.2412036805882804E-2"/>
    <n v="1.4019742460520387E-2"/>
    <n v="5.8392294345362417E-2"/>
    <n v="4.8830202029678145E-3"/>
    <n v="6.3275314548330228E-2"/>
    <n v="0"/>
    <n v="0"/>
    <n v="0"/>
    <n v="6.3275314548330228E-2"/>
  </r>
  <r>
    <x v="7"/>
    <d v="2024-09-04T00:00:00"/>
    <d v="2024-09-24T00:00:00"/>
    <x v="6"/>
    <n v="9"/>
    <n v="157"/>
    <n v="9.2845976559737667E-5"/>
    <n v="4.7954991262174045E-4"/>
    <n v="7.5289336281613245E-2"/>
    <n v="1.4576818319878814E-2"/>
    <n v="6.0712517961734429E-2"/>
    <n v="5.0770474958009727E-3"/>
    <n v="6.5789565457535407E-2"/>
    <n v="0"/>
    <n v="0"/>
    <n v="0"/>
    <n v="6.5789565457535407E-2"/>
  </r>
  <r>
    <x v="8"/>
    <d v="2024-10-03T00:00:00"/>
    <d v="2024-10-24T00:00:00"/>
    <x v="6"/>
    <n v="9"/>
    <n v="146"/>
    <n v="9.2845976559737667E-5"/>
    <n v="4.7954991262174045E-4"/>
    <n v="7.0014287242774101E-2"/>
    <n v="1.3555512577721699E-2"/>
    <n v="5.6458774665052405E-2"/>
    <n v="4.721330792273516E-3"/>
    <n v="6.1180105457325919E-2"/>
    <n v="0"/>
    <n v="0"/>
    <n v="0"/>
    <n v="6.1180105457325919E-2"/>
  </r>
  <r>
    <x v="9"/>
    <d v="2024-11-05T00:00:00"/>
    <d v="2024-11-25T00:00:00"/>
    <x v="6"/>
    <n v="9"/>
    <n v="116"/>
    <n v="9.2845976559737667E-5"/>
    <n v="4.7954991262174045E-4"/>
    <n v="5.5627789864121896E-2"/>
    <n v="1.0770133280929569E-2"/>
    <n v="4.4857656583192324E-2"/>
    <n v="3.7511943281077248E-3"/>
    <n v="4.8608850911300051E-2"/>
    <n v="0"/>
    <n v="0"/>
    <n v="0"/>
    <n v="4.8608850911300051E-2"/>
  </r>
  <r>
    <x v="10"/>
    <d v="2024-12-04T00:00:00"/>
    <d v="2024-12-24T00:00:00"/>
    <x v="6"/>
    <n v="9"/>
    <n v="62"/>
    <n v="9.2845976559737667E-5"/>
    <n v="4.7954991262174045E-4"/>
    <n v="2.9732094582547906E-2"/>
    <n v="5.756450546703735E-3"/>
    <n v="2.3975644035844172E-2"/>
    <n v="2.0049486926093014E-3"/>
    <n v="2.5980592728453475E-2"/>
    <n v="0"/>
    <n v="0"/>
    <n v="0"/>
    <n v="2.5980592728453475E-2"/>
  </r>
  <r>
    <x v="11"/>
    <d v="2025-01-03T00:00:00"/>
    <d v="2025-01-24T00:00:00"/>
    <x v="6"/>
    <n v="9"/>
    <n v="77"/>
    <n v="9.2845976559737667E-5"/>
    <n v="4.7954991262174045E-4"/>
    <n v="3.6925343271874016E-2"/>
    <n v="7.1491401950998E-3"/>
    <n v="2.9776203076774217E-2"/>
    <n v="2.4900169246921968E-3"/>
    <n v="3.2266220001466416E-2"/>
    <n v="0"/>
    <n v="0"/>
    <n v="0"/>
    <n v="3.2266220001466416E-2"/>
  </r>
  <r>
    <x v="0"/>
    <d v="2024-02-05T00:00:00"/>
    <d v="2024-02-26T00:00:00"/>
    <x v="7"/>
    <n v="9"/>
    <n v="65"/>
    <n v="9.2845976559737667E-5"/>
    <n v="4.7954991262174045E-4"/>
    <n v="3.117074432041313E-2"/>
    <n v="6.0349884763829485E-3"/>
    <n v="2.5135755844030182E-2"/>
    <n v="2.1019623390258805E-3"/>
    <n v="2.7237718183056061E-2"/>
    <n v="0"/>
    <n v="0"/>
    <n v="0"/>
    <n v="2.7237718183056061E-2"/>
  </r>
  <r>
    <x v="1"/>
    <d v="2024-03-05T00:00:00"/>
    <d v="2024-03-25T00:00:00"/>
    <x v="7"/>
    <n v="9"/>
    <n v="65"/>
    <n v="9.2845976559737667E-5"/>
    <n v="4.7954991262174045E-4"/>
    <n v="3.117074432041313E-2"/>
    <n v="6.0349884763829485E-3"/>
    <n v="2.5135755844030182E-2"/>
    <n v="2.1019623390258805E-3"/>
    <n v="2.7237718183056061E-2"/>
    <n v="0"/>
    <n v="0"/>
    <n v="0"/>
    <n v="2.7237718183056061E-2"/>
  </r>
  <r>
    <x v="2"/>
    <d v="2024-04-03T00:00:00"/>
    <d v="2024-04-24T00:00:00"/>
    <x v="7"/>
    <n v="9"/>
    <n v="64"/>
    <n v="9.2845976559737667E-5"/>
    <n v="4.7954991262174045E-4"/>
    <n v="3.0691194407791389E-2"/>
    <n v="5.9421424998232107E-3"/>
    <n v="2.4749051907968177E-2"/>
    <n v="2.0696244568870208E-3"/>
    <n v="2.6818676364855198E-2"/>
    <n v="0"/>
    <n v="0"/>
    <n v="0"/>
    <n v="2.6818676364855198E-2"/>
  </r>
  <r>
    <x v="3"/>
    <d v="2024-05-03T00:00:00"/>
    <d v="2024-05-24T00:00:00"/>
    <x v="7"/>
    <n v="9"/>
    <n v="65"/>
    <n v="9.2845976559737667E-5"/>
    <n v="4.7954991262174045E-4"/>
    <n v="3.117074432041313E-2"/>
    <n v="6.0349884763829485E-3"/>
    <n v="2.5135755844030182E-2"/>
    <n v="2.1019623390258805E-3"/>
    <n v="2.7237718183056061E-2"/>
    <n v="0"/>
    <n v="0"/>
    <n v="0"/>
    <n v="2.7237718183056061E-2"/>
  </r>
  <r>
    <x v="4"/>
    <d v="2024-06-05T00:00:00"/>
    <d v="2024-06-24T00:00:00"/>
    <x v="7"/>
    <n v="9"/>
    <n v="51"/>
    <n v="9.2845976559737667E-5"/>
    <n v="4.7954991262174045E-4"/>
    <n v="2.4457045543708762E-2"/>
    <n v="4.7351448045466213E-3"/>
    <n v="1.9721900739162142E-2"/>
    <n v="1.6492319890818446E-3"/>
    <n v="2.1371132728243987E-2"/>
    <n v="0"/>
    <n v="0"/>
    <n v="0"/>
    <n v="2.1371132728243987E-2"/>
  </r>
  <r>
    <x v="5"/>
    <d v="2024-07-03T00:00:00"/>
    <d v="2024-07-24T00:00:00"/>
    <x v="7"/>
    <n v="9"/>
    <n v="59"/>
    <n v="9.2845976559737667E-5"/>
    <n v="4.7954991262174045E-4"/>
    <n v="2.8293444844682686E-2"/>
    <n v="5.4779126170245223E-3"/>
    <n v="2.2815532227658163E-2"/>
    <n v="1.9079350461927223E-3"/>
    <n v="2.4723467273850885E-2"/>
    <n v="0"/>
    <n v="0"/>
    <n v="0"/>
    <n v="2.4723467273850885E-2"/>
  </r>
  <r>
    <x v="6"/>
    <d v="2024-08-05T00:00:00"/>
    <d v="2024-08-26T00:00:00"/>
    <x v="7"/>
    <n v="9"/>
    <n v="67"/>
    <n v="9.2845976559737667E-5"/>
    <n v="4.7954991262174045E-4"/>
    <n v="3.2129844145656609E-2"/>
    <n v="6.2206804295024233E-3"/>
    <n v="2.5909163716154187E-2"/>
    <n v="2.1666381033035999E-3"/>
    <n v="2.8075801819457787E-2"/>
    <n v="0"/>
    <n v="0"/>
    <n v="0"/>
    <n v="2.8075801819457787E-2"/>
  </r>
  <r>
    <x v="7"/>
    <d v="2024-09-04T00:00:00"/>
    <d v="2024-09-24T00:00:00"/>
    <x v="7"/>
    <n v="9"/>
    <n v="70"/>
    <n v="9.2845976559737667E-5"/>
    <n v="4.7954991262174045E-4"/>
    <n v="3.356849388352183E-2"/>
    <n v="6.4992183591816369E-3"/>
    <n v="2.7069275524340193E-2"/>
    <n v="2.2636517497201789E-3"/>
    <n v="2.9332927274060373E-2"/>
    <n v="0"/>
    <n v="0"/>
    <n v="0"/>
    <n v="2.9332927274060373E-2"/>
  </r>
  <r>
    <x v="8"/>
    <d v="2024-10-03T00:00:00"/>
    <d v="2024-10-24T00:00:00"/>
    <x v="7"/>
    <n v="9"/>
    <n v="72"/>
    <n v="9.2845976559737667E-5"/>
    <n v="4.7954991262174045E-4"/>
    <n v="3.4527593708765313E-2"/>
    <n v="6.6849103123011117E-3"/>
    <n v="2.7842683396464202E-2"/>
    <n v="2.3283275139978983E-3"/>
    <n v="3.01710109104621E-2"/>
    <n v="0"/>
    <n v="0"/>
    <n v="0"/>
    <n v="3.01710109104621E-2"/>
  </r>
  <r>
    <x v="9"/>
    <d v="2024-11-05T00:00:00"/>
    <d v="2024-11-25T00:00:00"/>
    <x v="7"/>
    <n v="9"/>
    <n v="73"/>
    <n v="9.2845976559737667E-5"/>
    <n v="4.7954991262174045E-4"/>
    <n v="3.500714362138705E-2"/>
    <n v="6.7777562888608495E-3"/>
    <n v="2.8229387332526203E-2"/>
    <n v="2.360665396136758E-3"/>
    <n v="3.0590052728662959E-2"/>
    <n v="0"/>
    <n v="0"/>
    <n v="0"/>
    <n v="3.0590052728662959E-2"/>
  </r>
  <r>
    <x v="10"/>
    <d v="2024-12-04T00:00:00"/>
    <d v="2024-12-24T00:00:00"/>
    <x v="7"/>
    <n v="9"/>
    <n v="72"/>
    <n v="9.2845976559737667E-5"/>
    <n v="4.7954991262174045E-4"/>
    <n v="3.4527593708765313E-2"/>
    <n v="6.6849103123011117E-3"/>
    <n v="2.7842683396464202E-2"/>
    <n v="2.3283275139978983E-3"/>
    <n v="3.01710109104621E-2"/>
    <n v="0"/>
    <n v="0"/>
    <n v="0"/>
    <n v="3.01710109104621E-2"/>
  </r>
  <r>
    <x v="11"/>
    <d v="2025-01-03T00:00:00"/>
    <d v="2025-01-24T00:00:00"/>
    <x v="7"/>
    <n v="9"/>
    <n v="65"/>
    <n v="9.2845976559737667E-5"/>
    <n v="4.7954991262174045E-4"/>
    <n v="3.117074432041313E-2"/>
    <n v="6.0349884763829485E-3"/>
    <n v="2.5135755844030182E-2"/>
    <n v="2.1019623390258805E-3"/>
    <n v="2.7237718183056061E-2"/>
    <n v="0"/>
    <n v="0"/>
    <n v="0"/>
    <n v="2.7237718183056061E-2"/>
  </r>
  <r>
    <x v="0"/>
    <d v="2024-02-05T00:00:00"/>
    <d v="2024-02-26T00:00:00"/>
    <x v="8"/>
    <n v="9"/>
    <n v="1452"/>
    <n v="9.2845976559737667E-5"/>
    <n v="4.7954991262174045E-4"/>
    <n v="0.69630647312676719"/>
    <n v="0.13481235796473909"/>
    <n v="0.56149411516202807"/>
    <n v="4.6954604865624285E-2"/>
    <n v="0.60844872002765238"/>
    <n v="0"/>
    <n v="0"/>
    <n v="0"/>
    <n v="0.60844872002765238"/>
  </r>
  <r>
    <x v="1"/>
    <d v="2024-03-05T00:00:00"/>
    <d v="2024-03-25T00:00:00"/>
    <x v="8"/>
    <n v="9"/>
    <n v="966"/>
    <n v="9.2845976559737667E-5"/>
    <n v="4.7954991262174045E-4"/>
    <n v="0.46324521559260129"/>
    <n v="8.9689213356706585E-2"/>
    <n v="0.37355600223589469"/>
    <n v="3.1238394146138469E-2"/>
    <n v="0.40479439638203318"/>
    <n v="0"/>
    <n v="0"/>
    <n v="0"/>
    <n v="0.40479439638203318"/>
  </r>
  <r>
    <x v="2"/>
    <d v="2024-04-03T00:00:00"/>
    <d v="2024-04-24T00:00:00"/>
    <x v="8"/>
    <n v="9"/>
    <n v="732"/>
    <n v="9.2845976559737667E-5"/>
    <n v="4.7954991262174045E-4"/>
    <n v="0.35103053603911399"/>
    <n v="6.7963254841727966E-2"/>
    <n v="0.283067281197386"/>
    <n v="2.3671329725645302E-2"/>
    <n v="0.30673861092303129"/>
    <n v="0"/>
    <n v="0"/>
    <n v="0"/>
    <n v="0.30673861092303129"/>
  </r>
  <r>
    <x v="3"/>
    <d v="2024-05-03T00:00:00"/>
    <d v="2024-05-24T00:00:00"/>
    <x v="8"/>
    <n v="9"/>
    <n v="547"/>
    <n v="9.2845976559737667E-5"/>
    <n v="4.7954991262174045E-4"/>
    <n v="0.26231380220409201"/>
    <n v="5.07867491781765E-2"/>
    <n v="0.21152705302591551"/>
    <n v="1.7688821529956256E-2"/>
    <n v="0.22921587455587178"/>
    <n v="0"/>
    <n v="0"/>
    <n v="0"/>
    <n v="0.22921587455587178"/>
  </r>
  <r>
    <x v="4"/>
    <d v="2024-06-05T00:00:00"/>
    <d v="2024-06-24T00:00:00"/>
    <x v="8"/>
    <n v="9"/>
    <n v="747"/>
    <n v="9.2845976559737667E-5"/>
    <n v="4.7954991262174045E-4"/>
    <n v="0.35822378472844013"/>
    <n v="6.9355944490124041E-2"/>
    <n v="0.28886784023831608"/>
    <n v="2.4156397957728198E-2"/>
    <n v="0.3130242381960443"/>
    <n v="0"/>
    <n v="0"/>
    <n v="0"/>
    <n v="0.3130242381960443"/>
  </r>
  <r>
    <x v="5"/>
    <d v="2024-07-03T00:00:00"/>
    <d v="2024-07-24T00:00:00"/>
    <x v="8"/>
    <n v="9"/>
    <n v="917"/>
    <n v="9.2845976559737667E-5"/>
    <n v="4.7954991262174045E-4"/>
    <n v="0.43974726987413598"/>
    <n v="8.5139760505279438E-2"/>
    <n v="0.35460750936885654"/>
    <n v="2.9653837921334344E-2"/>
    <n v="0.3842613472901909"/>
    <n v="0"/>
    <n v="0"/>
    <n v="0"/>
    <n v="0.3842613472901909"/>
  </r>
  <r>
    <x v="6"/>
    <d v="2024-08-05T00:00:00"/>
    <d v="2024-08-26T00:00:00"/>
    <x v="8"/>
    <n v="9"/>
    <n v="950"/>
    <n v="9.2845976559737667E-5"/>
    <n v="4.7954991262174045E-4"/>
    <n v="0.45557241699065343"/>
    <n v="8.8203677731750779E-2"/>
    <n v="0.36736873925890268"/>
    <n v="3.0720988031916717E-2"/>
    <n v="0.39808972729081937"/>
    <n v="0"/>
    <n v="0"/>
    <n v="0"/>
    <n v="0.39808972729081937"/>
  </r>
  <r>
    <x v="7"/>
    <d v="2024-09-04T00:00:00"/>
    <d v="2024-09-24T00:00:00"/>
    <x v="8"/>
    <n v="9"/>
    <n v="940"/>
    <n v="9.2845976559737667E-5"/>
    <n v="4.7954991262174045E-4"/>
    <n v="0.45077691786443602"/>
    <n v="8.7275217966153409E-2"/>
    <n v="0.36350169989828263"/>
    <n v="3.0397609210528115E-2"/>
    <n v="0.39389930910881077"/>
    <n v="0"/>
    <n v="0"/>
    <n v="0"/>
    <n v="0.39389930910881077"/>
  </r>
  <r>
    <x v="8"/>
    <d v="2024-10-03T00:00:00"/>
    <d v="2024-10-24T00:00:00"/>
    <x v="8"/>
    <n v="9"/>
    <n v="816"/>
    <n v="9.2845976559737667E-5"/>
    <n v="4.7954991262174045E-4"/>
    <n v="0.3913127286993402"/>
    <n v="7.5762316872745941E-2"/>
    <n v="0.31555041182659427"/>
    <n v="2.6387711825309513E-2"/>
    <n v="0.34193812365190379"/>
    <n v="0"/>
    <n v="0"/>
    <n v="0"/>
    <n v="0.34193812365190379"/>
  </r>
  <r>
    <x v="9"/>
    <d v="2024-11-05T00:00:00"/>
    <d v="2024-11-25T00:00:00"/>
    <x v="8"/>
    <n v="9"/>
    <n v="683"/>
    <n v="9.2845976559737667E-5"/>
    <n v="4.7954991262174045E-4"/>
    <n v="0.32753259032064874"/>
    <n v="6.3413801990300833E-2"/>
    <n v="0.26411878833034791"/>
    <n v="2.2086773500841175E-2"/>
    <n v="0.28620556183118906"/>
    <n v="0"/>
    <n v="0"/>
    <n v="0"/>
    <n v="0.28620556183118906"/>
  </r>
  <r>
    <x v="10"/>
    <d v="2024-12-04T00:00:00"/>
    <d v="2024-12-24T00:00:00"/>
    <x v="8"/>
    <n v="9"/>
    <n v="525"/>
    <n v="9.2845976559737667E-5"/>
    <n v="4.7954991262174045E-4"/>
    <n v="0.25176370412641375"/>
    <n v="4.8744137693862273E-2"/>
    <n v="0.20301956643255148"/>
    <n v="1.6977388122901345E-2"/>
    <n v="0.21999695455545282"/>
    <n v="0"/>
    <n v="0"/>
    <n v="0"/>
    <n v="0.21999695455545282"/>
  </r>
  <r>
    <x v="11"/>
    <d v="2025-01-03T00:00:00"/>
    <d v="2025-01-24T00:00:00"/>
    <x v="8"/>
    <n v="9"/>
    <n v="863"/>
    <n v="9.2845976559737667E-5"/>
    <n v="4.7954991262174045E-4"/>
    <n v="0.413851574592562"/>
    <n v="8.01260777710536E-2"/>
    <n v="0.33372549682150843"/>
    <n v="2.7907592285835919E-2"/>
    <n v="0.36163308910734437"/>
    <n v="0"/>
    <n v="0"/>
    <n v="0"/>
    <n v="0.36163308910734437"/>
  </r>
  <r>
    <x v="0"/>
    <d v="2024-02-05T00:00:00"/>
    <d v="2024-02-26T00:00:00"/>
    <x v="9"/>
    <n v="9"/>
    <n v="8"/>
    <n v="9.2845976559737667E-5"/>
    <n v="4.7954991262174045E-4"/>
    <n v="3.8363993009739236E-3"/>
    <n v="7.4276781247790134E-4"/>
    <n v="3.0936314884960222E-3"/>
    <n v="2.587030571108776E-4"/>
    <n v="3.3523345456068997E-3"/>
    <n v="0"/>
    <n v="0"/>
    <n v="0"/>
    <n v="3.3523345456068997E-3"/>
  </r>
  <r>
    <x v="1"/>
    <d v="2024-03-05T00:00:00"/>
    <d v="2024-03-25T00:00:00"/>
    <x v="9"/>
    <n v="9"/>
    <n v="5"/>
    <n v="9.2845976559737667E-5"/>
    <n v="4.7954991262174045E-4"/>
    <n v="2.3977495631087023E-3"/>
    <n v="4.6422988279868835E-4"/>
    <n v="1.9335196803100139E-3"/>
    <n v="1.6168941069429852E-4"/>
    <n v="2.0952090910043124E-3"/>
    <n v="0"/>
    <n v="0"/>
    <n v="0"/>
    <n v="2.0952090910043124E-3"/>
  </r>
  <r>
    <x v="2"/>
    <d v="2024-04-03T00:00:00"/>
    <d v="2024-04-24T00:00:00"/>
    <x v="9"/>
    <n v="9"/>
    <n v="5"/>
    <n v="9.2845976559737667E-5"/>
    <n v="4.7954991262174045E-4"/>
    <n v="2.3977495631087023E-3"/>
    <n v="4.6422988279868835E-4"/>
    <n v="1.9335196803100139E-3"/>
    <n v="1.6168941069429852E-4"/>
    <n v="2.0952090910043124E-3"/>
    <n v="0"/>
    <n v="0"/>
    <n v="0"/>
    <n v="2.0952090910043124E-3"/>
  </r>
  <r>
    <x v="3"/>
    <d v="2024-05-03T00:00:00"/>
    <d v="2024-05-24T00:00:00"/>
    <x v="9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4"/>
    <d v="2024-06-05T00:00:00"/>
    <d v="2024-06-24T00:00:00"/>
    <x v="9"/>
    <n v="9"/>
    <n v="9"/>
    <n v="9.2845976559737667E-5"/>
    <n v="4.7954991262174045E-4"/>
    <n v="4.3159492135956641E-3"/>
    <n v="8.3561378903763896E-4"/>
    <n v="3.4803354245580252E-3"/>
    <n v="2.9104093924973729E-4"/>
    <n v="3.7713763638077625E-3"/>
    <n v="0"/>
    <n v="0"/>
    <n v="0"/>
    <n v="3.7713763638077625E-3"/>
  </r>
  <r>
    <x v="5"/>
    <d v="2024-07-03T00:00:00"/>
    <d v="2024-07-24T00:00:00"/>
    <x v="9"/>
    <n v="9"/>
    <n v="14"/>
    <n v="9.2845976559737667E-5"/>
    <n v="4.7954991262174045E-4"/>
    <n v="6.7136987767043663E-3"/>
    <n v="1.2998436718363274E-3"/>
    <n v="5.4138551048680391E-3"/>
    <n v="4.5273034994403581E-4"/>
    <n v="5.8665854548120748E-3"/>
    <n v="0"/>
    <n v="0"/>
    <n v="0"/>
    <n v="5.8665854548120748E-3"/>
  </r>
  <r>
    <x v="6"/>
    <d v="2024-08-05T00:00:00"/>
    <d v="2024-08-26T00:00:00"/>
    <x v="9"/>
    <n v="9"/>
    <n v="17"/>
    <n v="9.2845976559737667E-5"/>
    <n v="4.7954991262174045E-4"/>
    <n v="8.1523485145695886E-3"/>
    <n v="1.5783816015155403E-3"/>
    <n v="6.5739669130540478E-3"/>
    <n v="5.4974399636061489E-4"/>
    <n v="7.1237109094146626E-3"/>
    <n v="0"/>
    <n v="0"/>
    <n v="0"/>
    <n v="7.1237109094146626E-3"/>
  </r>
  <r>
    <x v="7"/>
    <d v="2024-09-04T00:00:00"/>
    <d v="2024-09-24T00:00:00"/>
    <x v="9"/>
    <n v="9"/>
    <n v="19"/>
    <n v="9.2845976559737667E-5"/>
    <n v="4.7954991262174045E-4"/>
    <n v="9.1114483398130677E-3"/>
    <n v="1.7640735546350158E-3"/>
    <n v="7.3473747851780522E-3"/>
    <n v="6.1441976063833438E-4"/>
    <n v="7.9617945458163863E-3"/>
    <n v="0"/>
    <n v="0"/>
    <n v="0"/>
    <n v="7.9617945458163863E-3"/>
  </r>
  <r>
    <x v="8"/>
    <d v="2024-10-03T00:00:00"/>
    <d v="2024-10-24T00:00:00"/>
    <x v="9"/>
    <n v="9"/>
    <n v="11"/>
    <n v="9.2845976559737667E-5"/>
    <n v="4.7954991262174045E-4"/>
    <n v="5.275049038839145E-3"/>
    <n v="1.0213057421571143E-3"/>
    <n v="4.2537432966820304E-3"/>
    <n v="3.5571670352745668E-4"/>
    <n v="4.6094600002094871E-3"/>
    <n v="0"/>
    <n v="0"/>
    <n v="0"/>
    <n v="4.6094600002094871E-3"/>
  </r>
  <r>
    <x v="9"/>
    <d v="2024-11-05T00:00:00"/>
    <d v="2024-11-25T00:00:00"/>
    <x v="9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10"/>
    <d v="2024-12-04T00:00:00"/>
    <d v="2024-12-24T00:00:00"/>
    <x v="9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11"/>
    <d v="2025-01-03T00:00:00"/>
    <d v="2025-01-24T00:00:00"/>
    <x v="9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0"/>
    <d v="2024-02-05T00:00:00"/>
    <d v="2024-02-26T00:00:00"/>
    <x v="10"/>
    <n v="9"/>
    <n v="4"/>
    <n v="9.2845976559737667E-5"/>
    <n v="4.7954991262174045E-4"/>
    <n v="1.9181996504869618E-3"/>
    <n v="3.7138390623895067E-4"/>
    <n v="1.5468157442480111E-3"/>
    <n v="1.293515285554388E-4"/>
    <n v="1.6761672728034499E-3"/>
    <n v="0"/>
    <n v="0"/>
    <n v="0"/>
    <n v="1.6761672728034499E-3"/>
  </r>
  <r>
    <x v="1"/>
    <d v="2024-03-05T00:00:00"/>
    <d v="2024-03-25T00:00:00"/>
    <x v="10"/>
    <n v="9"/>
    <n v="3"/>
    <n v="9.2845976559737667E-5"/>
    <n v="4.7954991262174045E-4"/>
    <n v="1.4386497378652214E-3"/>
    <n v="2.7853792967921299E-4"/>
    <n v="1.1601118081860083E-3"/>
    <n v="9.7013646416579092E-5"/>
    <n v="1.2571254546025873E-3"/>
    <n v="0"/>
    <n v="0"/>
    <n v="0"/>
    <n v="1.2571254546025873E-3"/>
  </r>
  <r>
    <x v="2"/>
    <d v="2024-04-03T00:00:00"/>
    <d v="2024-04-24T00:00:00"/>
    <x v="10"/>
    <n v="9"/>
    <n v="3"/>
    <n v="9.2845976559737667E-5"/>
    <n v="4.7954991262174045E-4"/>
    <n v="1.4386497378652214E-3"/>
    <n v="2.7853792967921299E-4"/>
    <n v="1.1601118081860083E-3"/>
    <n v="9.7013646416579092E-5"/>
    <n v="1.2571254546025873E-3"/>
    <n v="0"/>
    <n v="0"/>
    <n v="0"/>
    <n v="1.2571254546025873E-3"/>
  </r>
  <r>
    <x v="3"/>
    <d v="2024-05-03T00:00:00"/>
    <d v="2024-05-24T00:00:00"/>
    <x v="10"/>
    <n v="9"/>
    <n v="2"/>
    <n v="9.2845976559737667E-5"/>
    <n v="4.7954991262174045E-4"/>
    <n v="9.5909982524348091E-4"/>
    <n v="1.8569195311947533E-4"/>
    <n v="7.7340787212400554E-4"/>
    <n v="6.4675764277719399E-5"/>
    <n v="8.3808363640172493E-4"/>
    <n v="0"/>
    <n v="0"/>
    <n v="0"/>
    <n v="8.3808363640172493E-4"/>
  </r>
  <r>
    <x v="4"/>
    <d v="2024-06-05T00:00:00"/>
    <d v="2024-06-24T00:00:00"/>
    <x v="10"/>
    <n v="9"/>
    <n v="4"/>
    <n v="9.2845976559737667E-5"/>
    <n v="4.7954991262174045E-4"/>
    <n v="1.9181996504869618E-3"/>
    <n v="3.7138390623895067E-4"/>
    <n v="1.5468157442480111E-3"/>
    <n v="1.293515285554388E-4"/>
    <n v="1.6761672728034499E-3"/>
    <n v="0"/>
    <n v="0"/>
    <n v="0"/>
    <n v="1.6761672728034499E-3"/>
  </r>
  <r>
    <x v="5"/>
    <d v="2024-07-03T00:00:00"/>
    <d v="2024-07-24T00:00:00"/>
    <x v="10"/>
    <n v="9"/>
    <n v="4"/>
    <n v="9.2845976559737667E-5"/>
    <n v="4.7954991262174045E-4"/>
    <n v="1.9181996504869618E-3"/>
    <n v="3.7138390623895067E-4"/>
    <n v="1.5468157442480111E-3"/>
    <n v="1.293515285554388E-4"/>
    <n v="1.6761672728034499E-3"/>
    <n v="0"/>
    <n v="0"/>
    <n v="0"/>
    <n v="1.6761672728034499E-3"/>
  </r>
  <r>
    <x v="6"/>
    <d v="2024-08-05T00:00:00"/>
    <d v="2024-08-26T00:00:00"/>
    <x v="10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7"/>
    <d v="2024-09-04T00:00:00"/>
    <d v="2024-09-24T00:00:00"/>
    <x v="10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8"/>
    <d v="2024-10-03T00:00:00"/>
    <d v="2024-10-24T00:00:00"/>
    <x v="10"/>
    <n v="9"/>
    <n v="3"/>
    <n v="9.2845976559737667E-5"/>
    <n v="4.7954991262174045E-4"/>
    <n v="1.4386497378652214E-3"/>
    <n v="2.7853792967921299E-4"/>
    <n v="1.1601118081860083E-3"/>
    <n v="9.7013646416579092E-5"/>
    <n v="1.2571254546025873E-3"/>
    <n v="0"/>
    <n v="0"/>
    <n v="0"/>
    <n v="1.2571254546025873E-3"/>
  </r>
  <r>
    <x v="9"/>
    <d v="2024-11-05T00:00:00"/>
    <d v="2024-11-25T00:00:00"/>
    <x v="10"/>
    <n v="9"/>
    <n v="6"/>
    <n v="9.2845976559737667E-5"/>
    <n v="4.7954991262174045E-4"/>
    <n v="2.8772994757304427E-3"/>
    <n v="5.5707585935842597E-4"/>
    <n v="2.3202236163720165E-3"/>
    <n v="1.9402729283315818E-4"/>
    <n v="2.5142509092051747E-3"/>
    <n v="0"/>
    <n v="0"/>
    <n v="0"/>
    <n v="2.5142509092051747E-3"/>
  </r>
  <r>
    <x v="10"/>
    <d v="2024-12-04T00:00:00"/>
    <d v="2024-12-24T00:00:00"/>
    <x v="10"/>
    <n v="9"/>
    <n v="1"/>
    <n v="9.2845976559737667E-5"/>
    <n v="4.7954991262174045E-4"/>
    <n v="4.7954991262174045E-4"/>
    <n v="9.2845976559737667E-5"/>
    <n v="3.8670393606200277E-4"/>
    <n v="3.23378821388597E-5"/>
    <n v="4.1904181820086247E-4"/>
    <n v="0"/>
    <n v="0"/>
    <n v="0"/>
    <n v="4.1904181820086247E-4"/>
  </r>
  <r>
    <x v="11"/>
    <d v="2025-01-03T00:00:00"/>
    <d v="2025-01-24T00:00:00"/>
    <x v="10"/>
    <n v="9"/>
    <n v="3"/>
    <n v="9.2845976559737667E-5"/>
    <n v="4.7954991262174045E-4"/>
    <n v="1.4386497378652214E-3"/>
    <n v="2.7853792967921299E-4"/>
    <n v="1.1601118081860083E-3"/>
    <n v="9.7013646416579092E-5"/>
    <n v="1.2571254546025873E-3"/>
    <n v="0"/>
    <n v="0"/>
    <n v="0"/>
    <n v="1.2571254546025873E-3"/>
  </r>
  <r>
    <x v="0"/>
    <d v="2024-02-05T00:00:00"/>
    <d v="2024-02-26T00:00:00"/>
    <x v="11"/>
    <n v="9"/>
    <n v="145"/>
    <n v="9.2845976559737667E-5"/>
    <n v="4.7954991262174045E-4"/>
    <n v="6.9534737330152363E-2"/>
    <n v="1.3462666601161962E-2"/>
    <n v="5.6072070728990397E-2"/>
    <n v="4.6889929101346563E-3"/>
    <n v="6.0761063639125056E-2"/>
    <n v="0"/>
    <n v="0"/>
    <n v="0"/>
    <n v="6.0761063639125056E-2"/>
  </r>
  <r>
    <x v="1"/>
    <d v="2024-03-05T00:00:00"/>
    <d v="2024-03-25T00:00:00"/>
    <x v="11"/>
    <n v="9"/>
    <n v="100"/>
    <n v="9.2845976559737667E-5"/>
    <n v="4.7954991262174045E-4"/>
    <n v="4.7954991262174049E-2"/>
    <n v="9.284597655973767E-3"/>
    <n v="3.8670393606200282E-2"/>
    <n v="3.2337882138859702E-3"/>
    <n v="4.1904181820086255E-2"/>
    <n v="0"/>
    <n v="0"/>
    <n v="0"/>
    <n v="4.1904181820086255E-2"/>
  </r>
  <r>
    <x v="2"/>
    <d v="2024-04-03T00:00:00"/>
    <d v="2024-04-24T00:00:00"/>
    <x v="11"/>
    <n v="9"/>
    <n v="92"/>
    <n v="9.2845976559737667E-5"/>
    <n v="4.7954991262174045E-4"/>
    <n v="4.4118591961200118E-2"/>
    <n v="8.541829843495866E-3"/>
    <n v="3.5576762117704254E-2"/>
    <n v="2.9750851567750922E-3"/>
    <n v="3.8551847274479349E-2"/>
    <n v="0"/>
    <n v="0"/>
    <n v="0"/>
    <n v="3.8551847274479349E-2"/>
  </r>
  <r>
    <x v="3"/>
    <d v="2024-05-03T00:00:00"/>
    <d v="2024-05-24T00:00:00"/>
    <x v="11"/>
    <n v="9"/>
    <n v="101"/>
    <n v="9.2845976559737667E-5"/>
    <n v="4.7954991262174045E-4"/>
    <n v="4.8434541174795787E-2"/>
    <n v="9.3774436325335039E-3"/>
    <n v="3.9057097542262283E-2"/>
    <n v="3.2661260960248299E-3"/>
    <n v="4.2323223638287111E-2"/>
    <n v="0"/>
    <n v="0"/>
    <n v="0"/>
    <n v="4.2323223638287111E-2"/>
  </r>
  <r>
    <x v="4"/>
    <d v="2024-06-05T00:00:00"/>
    <d v="2024-06-24T00:00:00"/>
    <x v="11"/>
    <n v="9"/>
    <n v="118"/>
    <n v="9.2845976559737667E-5"/>
    <n v="4.7954991262174045E-4"/>
    <n v="5.6586889689365372E-2"/>
    <n v="1.0955825234049045E-2"/>
    <n v="4.5631064455316325E-2"/>
    <n v="3.8158700923854446E-3"/>
    <n v="4.9446934547701771E-2"/>
    <n v="0"/>
    <n v="0"/>
    <n v="0"/>
    <n v="4.9446934547701771E-2"/>
  </r>
  <r>
    <x v="5"/>
    <d v="2024-07-03T00:00:00"/>
    <d v="2024-07-24T00:00:00"/>
    <x v="11"/>
    <n v="9"/>
    <n v="173"/>
    <n v="9.2845976559737667E-5"/>
    <n v="4.7954991262174045E-4"/>
    <n v="8.2962134883561092E-2"/>
    <n v="1.6062353944834615E-2"/>
    <n v="6.6899780938726477E-2"/>
    <n v="5.5944536100227277E-3"/>
    <n v="7.2494234548749203E-2"/>
    <n v="0"/>
    <n v="0"/>
    <n v="0"/>
    <n v="7.2494234548749203E-2"/>
  </r>
  <r>
    <x v="6"/>
    <d v="2024-08-05T00:00:00"/>
    <d v="2024-08-26T00:00:00"/>
    <x v="11"/>
    <n v="9"/>
    <n v="164"/>
    <n v="9.2845976559737667E-5"/>
    <n v="4.7954991262174045E-4"/>
    <n v="7.8646185669965438E-2"/>
    <n v="1.5226740155796977E-2"/>
    <n v="6.3419445514168463E-2"/>
    <n v="5.3034126707729905E-3"/>
    <n v="6.8722858184941449E-2"/>
    <n v="0"/>
    <n v="0"/>
    <n v="0"/>
    <n v="6.8722858184941449E-2"/>
  </r>
  <r>
    <x v="7"/>
    <d v="2024-09-04T00:00:00"/>
    <d v="2024-09-24T00:00:00"/>
    <x v="11"/>
    <n v="9"/>
    <n v="170"/>
    <n v="9.2845976559737667E-5"/>
    <n v="4.7954991262174045E-4"/>
    <n v="8.1523485145695879E-2"/>
    <n v="1.5783816015155404E-2"/>
    <n v="6.5739669130540468E-2"/>
    <n v="5.4974399636061487E-3"/>
    <n v="7.1237109094146614E-2"/>
    <n v="0"/>
    <n v="0"/>
    <n v="0"/>
    <n v="7.1237109094146614E-2"/>
  </r>
  <r>
    <x v="8"/>
    <d v="2024-10-03T00:00:00"/>
    <d v="2024-10-24T00:00:00"/>
    <x v="11"/>
    <n v="9"/>
    <n v="156"/>
    <n v="9.2845976559737667E-5"/>
    <n v="4.7954991262174045E-4"/>
    <n v="7.4809786368991507E-2"/>
    <n v="1.4483972343319076E-2"/>
    <n v="6.0325814025672428E-2"/>
    <n v="5.044709613662113E-3"/>
    <n v="6.5370523639334543E-2"/>
    <n v="0"/>
    <n v="0"/>
    <n v="0"/>
    <n v="6.5370523639334543E-2"/>
  </r>
  <r>
    <x v="9"/>
    <d v="2024-11-05T00:00:00"/>
    <d v="2024-11-25T00:00:00"/>
    <x v="11"/>
    <n v="9"/>
    <n v="139"/>
    <n v="9.2845976559737667E-5"/>
    <n v="4.7954991262174045E-4"/>
    <n v="6.6657437854421922E-2"/>
    <n v="1.2905590741803535E-2"/>
    <n v="5.3751847112618385E-2"/>
    <n v="4.4949656173014982E-3"/>
    <n v="5.8246812729919883E-2"/>
    <n v="0"/>
    <n v="0"/>
    <n v="0"/>
    <n v="5.8246812729919883E-2"/>
  </r>
  <r>
    <x v="10"/>
    <d v="2024-12-04T00:00:00"/>
    <d v="2024-12-24T00:00:00"/>
    <x v="11"/>
    <n v="9"/>
    <n v="90"/>
    <n v="9.2845976559737667E-5"/>
    <n v="4.7954991262174045E-4"/>
    <n v="4.3159492135956642E-2"/>
    <n v="8.3561378903763903E-3"/>
    <n v="3.4803354245580252E-2"/>
    <n v="2.9104093924973732E-3"/>
    <n v="3.7713763638077623E-2"/>
    <n v="0"/>
    <n v="0"/>
    <n v="0"/>
    <n v="3.7713763638077623E-2"/>
  </r>
  <r>
    <x v="11"/>
    <d v="2025-01-03T00:00:00"/>
    <d v="2025-01-24T00:00:00"/>
    <x v="11"/>
    <n v="9"/>
    <n v="110"/>
    <n v="9.2845976559737667E-5"/>
    <n v="4.7954991262174045E-4"/>
    <n v="5.2750490388391448E-2"/>
    <n v="1.0213057421571144E-2"/>
    <n v="4.2537432966820304E-2"/>
    <n v="3.5571670352745667E-3"/>
    <n v="4.6094600002094872E-2"/>
    <n v="0"/>
    <n v="0"/>
    <n v="0"/>
    <n v="4.6094600002094872E-2"/>
  </r>
  <r>
    <x v="0"/>
    <d v="2024-02-05T00:00:00"/>
    <d v="2024-02-26T00:00:00"/>
    <x v="12"/>
    <n v="9"/>
    <n v="9"/>
    <n v="9.2845976559737667E-5"/>
    <n v="4.7954991262174045E-4"/>
    <n v="4.3159492135956641E-3"/>
    <n v="8.3561378903763896E-4"/>
    <n v="3.4803354245580252E-3"/>
    <n v="2.9104093924973729E-4"/>
    <n v="3.7713763638077625E-3"/>
    <n v="0"/>
    <n v="0"/>
    <n v="0"/>
    <n v="3.7713763638077625E-3"/>
  </r>
  <r>
    <x v="1"/>
    <d v="2024-03-05T00:00:00"/>
    <d v="2024-03-25T00:00:00"/>
    <x v="12"/>
    <n v="9"/>
    <n v="8"/>
    <n v="9.2845976559737667E-5"/>
    <n v="4.7954991262174045E-4"/>
    <n v="3.8363993009739236E-3"/>
    <n v="7.4276781247790134E-4"/>
    <n v="3.0936314884960222E-3"/>
    <n v="2.587030571108776E-4"/>
    <n v="3.3523345456068997E-3"/>
    <n v="0"/>
    <n v="0"/>
    <n v="0"/>
    <n v="3.3523345456068997E-3"/>
  </r>
  <r>
    <x v="2"/>
    <d v="2024-04-03T00:00:00"/>
    <d v="2024-04-24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3"/>
    <d v="2024-05-03T00:00:00"/>
    <d v="2024-05-24T00:00:00"/>
    <x v="12"/>
    <n v="9"/>
    <n v="7"/>
    <n v="9.2845976559737667E-5"/>
    <n v="4.7954991262174045E-4"/>
    <n v="3.3568493883521832E-3"/>
    <n v="6.4992183591816371E-4"/>
    <n v="2.7069275524340196E-3"/>
    <n v="2.263651749720179E-4"/>
    <n v="2.9332927274060374E-3"/>
    <n v="0"/>
    <n v="0"/>
    <n v="0"/>
    <n v="2.9332927274060374E-3"/>
  </r>
  <r>
    <x v="4"/>
    <d v="2024-06-05T00:00:00"/>
    <d v="2024-06-24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5"/>
    <d v="2024-07-03T00:00:00"/>
    <d v="2024-07-24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6"/>
    <d v="2024-08-05T00:00:00"/>
    <d v="2024-08-26T00:00:00"/>
    <x v="12"/>
    <n v="9"/>
    <n v="12"/>
    <n v="9.2845976559737667E-5"/>
    <n v="4.7954991262174045E-4"/>
    <n v="5.7545989514608854E-3"/>
    <n v="1.1141517187168519E-3"/>
    <n v="4.640447232744033E-3"/>
    <n v="3.8805458566631637E-4"/>
    <n v="5.0285018184103494E-3"/>
    <n v="0"/>
    <n v="0"/>
    <n v="0"/>
    <n v="5.0285018184103494E-3"/>
  </r>
  <r>
    <x v="7"/>
    <d v="2024-09-04T00:00:00"/>
    <d v="2024-09-24T00:00:00"/>
    <x v="12"/>
    <n v="9"/>
    <n v="12"/>
    <n v="9.2845976559737667E-5"/>
    <n v="4.7954991262174045E-4"/>
    <n v="5.7545989514608854E-3"/>
    <n v="1.1141517187168519E-3"/>
    <n v="4.640447232744033E-3"/>
    <n v="3.8805458566631637E-4"/>
    <n v="5.0285018184103494E-3"/>
    <n v="0"/>
    <n v="0"/>
    <n v="0"/>
    <n v="5.0285018184103494E-3"/>
  </r>
  <r>
    <x v="8"/>
    <d v="2024-10-03T00:00:00"/>
    <d v="2024-10-24T00:00:00"/>
    <x v="12"/>
    <n v="9"/>
    <n v="11"/>
    <n v="9.2845976559737667E-5"/>
    <n v="4.7954991262174045E-4"/>
    <n v="5.275049038839145E-3"/>
    <n v="1.0213057421571143E-3"/>
    <n v="4.2537432966820304E-3"/>
    <n v="3.5571670352745668E-4"/>
    <n v="4.6094600002094871E-3"/>
    <n v="0"/>
    <n v="0"/>
    <n v="0"/>
    <n v="4.6094600002094871E-3"/>
  </r>
  <r>
    <x v="9"/>
    <d v="2024-11-05T00:00:00"/>
    <d v="2024-11-25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10"/>
    <d v="2024-12-04T00:00:00"/>
    <d v="2024-12-24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11"/>
    <d v="2025-01-03T00:00:00"/>
    <d v="2025-01-24T00:00:00"/>
    <x v="12"/>
    <n v="9"/>
    <n v="10"/>
    <n v="9.2845976559737667E-5"/>
    <n v="4.7954991262174045E-4"/>
    <n v="4.7954991262174045E-3"/>
    <n v="9.284597655973767E-4"/>
    <n v="3.8670393606200278E-3"/>
    <n v="3.2337882138859704E-4"/>
    <n v="4.1904181820086248E-3"/>
    <n v="0"/>
    <n v="0"/>
    <n v="0"/>
    <n v="4.1904181820086248E-3"/>
  </r>
  <r>
    <x v="0"/>
    <d v="2024-02-05T00:00:00"/>
    <d v="2024-02-26T00:00:00"/>
    <x v="13"/>
    <n v="9"/>
    <n v="26"/>
    <n v="9.2845976559737667E-5"/>
    <n v="4.7954991262174045E-4"/>
    <n v="1.2468297728165252E-2"/>
    <n v="2.4139953905531791E-3"/>
    <n v="1.0054302337612073E-2"/>
    <n v="8.4078493561035223E-4"/>
    <n v="1.0895087273222425E-2"/>
    <n v="0"/>
    <n v="0"/>
    <n v="0"/>
    <n v="1.0895087273222425E-2"/>
  </r>
  <r>
    <x v="1"/>
    <d v="2024-03-05T00:00:00"/>
    <d v="2024-03-25T00:00:00"/>
    <x v="13"/>
    <n v="9"/>
    <n v="19"/>
    <n v="9.2845976559737667E-5"/>
    <n v="4.7954991262174045E-4"/>
    <n v="9.1114483398130677E-3"/>
    <n v="1.7640735546350158E-3"/>
    <n v="7.3473747851780522E-3"/>
    <n v="6.1441976063833438E-4"/>
    <n v="7.9617945458163863E-3"/>
    <n v="0"/>
    <n v="0"/>
    <n v="0"/>
    <n v="7.9617945458163863E-3"/>
  </r>
  <r>
    <x v="2"/>
    <d v="2024-04-03T00:00:00"/>
    <d v="2024-04-24T00:00:00"/>
    <x v="13"/>
    <n v="9"/>
    <n v="18"/>
    <n v="9.2845976559737667E-5"/>
    <n v="4.7954991262174045E-4"/>
    <n v="8.6318984271913281E-3"/>
    <n v="1.6712275780752779E-3"/>
    <n v="6.9606708491160504E-3"/>
    <n v="5.8208187849947458E-4"/>
    <n v="7.5427527276155249E-3"/>
    <n v="0"/>
    <n v="0"/>
    <n v="0"/>
    <n v="7.5427527276155249E-3"/>
  </r>
  <r>
    <x v="3"/>
    <d v="2024-05-03T00:00:00"/>
    <d v="2024-05-24T00:00:00"/>
    <x v="13"/>
    <n v="9"/>
    <n v="22"/>
    <n v="9.2845976559737667E-5"/>
    <n v="4.7954991262174045E-4"/>
    <n v="1.055009807767829E-2"/>
    <n v="2.0426114843142286E-3"/>
    <n v="8.5074865933640609E-3"/>
    <n v="7.1143340705491335E-4"/>
    <n v="9.2189200004189741E-3"/>
    <n v="0"/>
    <n v="0"/>
    <n v="0"/>
    <n v="9.2189200004189741E-3"/>
  </r>
  <r>
    <x v="4"/>
    <d v="2024-06-05T00:00:00"/>
    <d v="2024-06-24T00:00:00"/>
    <x v="13"/>
    <n v="9"/>
    <n v="31"/>
    <n v="9.2845976559737667E-5"/>
    <n v="4.7954991262174045E-4"/>
    <n v="1.4866047291273953E-2"/>
    <n v="2.8782252733518675E-3"/>
    <n v="1.1987822017922086E-2"/>
    <n v="1.0024743463046507E-3"/>
    <n v="1.2990296364226737E-2"/>
    <n v="0"/>
    <n v="0"/>
    <n v="0"/>
    <n v="1.2990296364226737E-2"/>
  </r>
  <r>
    <x v="5"/>
    <d v="2024-07-03T00:00:00"/>
    <d v="2024-07-24T00:00:00"/>
    <x v="13"/>
    <n v="9"/>
    <n v="36"/>
    <n v="9.2845976559737667E-5"/>
    <n v="4.7954991262174045E-4"/>
    <n v="1.7263796854382656E-2"/>
    <n v="3.3424551561505558E-3"/>
    <n v="1.3921341698232101E-2"/>
    <n v="1.1641637569989492E-3"/>
    <n v="1.508550545523105E-2"/>
    <n v="0"/>
    <n v="0"/>
    <n v="0"/>
    <n v="1.508550545523105E-2"/>
  </r>
  <r>
    <x v="6"/>
    <d v="2024-08-05T00:00:00"/>
    <d v="2024-08-26T00:00:00"/>
    <x v="13"/>
    <n v="9"/>
    <n v="38"/>
    <n v="9.2845976559737667E-5"/>
    <n v="4.7954991262174045E-4"/>
    <n v="1.8222896679626135E-2"/>
    <n v="3.5281471092700315E-3"/>
    <n v="1.4694749570356104E-2"/>
    <n v="1.2288395212766688E-3"/>
    <n v="1.5923589091632773E-2"/>
    <n v="0"/>
    <n v="0"/>
    <n v="0"/>
    <n v="1.5923589091632773E-2"/>
  </r>
  <r>
    <x v="7"/>
    <d v="2024-09-04T00:00:00"/>
    <d v="2024-09-24T00:00:00"/>
    <x v="13"/>
    <n v="9"/>
    <n v="41"/>
    <n v="9.2845976559737667E-5"/>
    <n v="4.7954991262174045E-4"/>
    <n v="1.9661546417491359E-2"/>
    <n v="3.8066850389492442E-3"/>
    <n v="1.5854861378542116E-2"/>
    <n v="1.3258531676932476E-3"/>
    <n v="1.7180714546235362E-2"/>
    <n v="0"/>
    <n v="0"/>
    <n v="0"/>
    <n v="1.7180714546235362E-2"/>
  </r>
  <r>
    <x v="8"/>
    <d v="2024-10-03T00:00:00"/>
    <d v="2024-10-24T00:00:00"/>
    <x v="13"/>
    <n v="9"/>
    <n v="29"/>
    <n v="9.2845976559737667E-5"/>
    <n v="4.7954991262174045E-4"/>
    <n v="1.3906947466030474E-2"/>
    <n v="2.6925333202323922E-3"/>
    <n v="1.1214414145798081E-2"/>
    <n v="9.377985820269312E-4"/>
    <n v="1.2152212727825013E-2"/>
    <n v="0"/>
    <n v="0"/>
    <n v="0"/>
    <n v="1.2152212727825013E-2"/>
  </r>
  <r>
    <x v="9"/>
    <d v="2024-11-05T00:00:00"/>
    <d v="2024-11-25T00:00:00"/>
    <x v="13"/>
    <n v="9"/>
    <n v="26"/>
    <n v="9.2845976559737667E-5"/>
    <n v="4.7954991262174045E-4"/>
    <n v="1.2468297728165252E-2"/>
    <n v="2.4139953905531791E-3"/>
    <n v="1.0054302337612073E-2"/>
    <n v="8.4078493561035223E-4"/>
    <n v="1.0895087273222425E-2"/>
    <n v="0"/>
    <n v="0"/>
    <n v="0"/>
    <n v="1.0895087273222425E-2"/>
  </r>
  <r>
    <x v="10"/>
    <d v="2024-12-04T00:00:00"/>
    <d v="2024-12-24T00:00:00"/>
    <x v="13"/>
    <n v="9"/>
    <n v="22"/>
    <n v="9.2845976559737667E-5"/>
    <n v="4.7954991262174045E-4"/>
    <n v="1.055009807767829E-2"/>
    <n v="2.0426114843142286E-3"/>
    <n v="8.5074865933640609E-3"/>
    <n v="7.1143340705491335E-4"/>
    <n v="9.2189200004189741E-3"/>
    <n v="0"/>
    <n v="0"/>
    <n v="0"/>
    <n v="9.2189200004189741E-3"/>
  </r>
  <r>
    <x v="11"/>
    <d v="2025-01-03T00:00:00"/>
    <d v="2025-01-24T00:00:00"/>
    <x v="13"/>
    <n v="9"/>
    <n v="18"/>
    <n v="9.2845976559737667E-5"/>
    <n v="4.7954991262174045E-4"/>
    <n v="8.6318984271913281E-3"/>
    <n v="1.6712275780752779E-3"/>
    <n v="6.9606708491160504E-3"/>
    <n v="5.8208187849947458E-4"/>
    <n v="7.5427527276155249E-3"/>
    <n v="0"/>
    <n v="0"/>
    <n v="0"/>
    <n v="7.5427527276155249E-3"/>
  </r>
  <r>
    <x v="0"/>
    <d v="2024-02-05T00:00:00"/>
    <d v="2024-02-26T00:00:00"/>
    <x v="14"/>
    <n v="9"/>
    <n v="34"/>
    <n v="9.2845976559737667E-5"/>
    <n v="4.7954991262174045E-4"/>
    <n v="1.6304697029139177E-2"/>
    <n v="3.1567632030310806E-3"/>
    <n v="1.3147933826108096E-2"/>
    <n v="1.0994879927212298E-3"/>
    <n v="1.4247421818829325E-2"/>
    <n v="0"/>
    <n v="0"/>
    <n v="0"/>
    <n v="1.4247421818829325E-2"/>
  </r>
  <r>
    <x v="1"/>
    <d v="2024-03-05T00:00:00"/>
    <d v="2024-03-25T00:00:00"/>
    <x v="14"/>
    <n v="9"/>
    <n v="32"/>
    <n v="9.2845976559737667E-5"/>
    <n v="4.7954991262174045E-4"/>
    <n v="1.5345597203895694E-2"/>
    <n v="2.9710712499116053E-3"/>
    <n v="1.2374525953984089E-2"/>
    <n v="1.0348122284435104E-3"/>
    <n v="1.3409338182427599E-2"/>
    <n v="0"/>
    <n v="0"/>
    <n v="0"/>
    <n v="1.3409338182427599E-2"/>
  </r>
  <r>
    <x v="2"/>
    <d v="2024-04-03T00:00:00"/>
    <d v="2024-04-24T00:00:00"/>
    <x v="14"/>
    <n v="9"/>
    <n v="32"/>
    <n v="9.2845976559737667E-5"/>
    <n v="4.7954991262174045E-4"/>
    <n v="1.5345597203895694E-2"/>
    <n v="2.9710712499116053E-3"/>
    <n v="1.2374525953984089E-2"/>
    <n v="1.0348122284435104E-3"/>
    <n v="1.3409338182427599E-2"/>
    <n v="0"/>
    <n v="0"/>
    <n v="0"/>
    <n v="1.3409338182427599E-2"/>
  </r>
  <r>
    <x v="3"/>
    <d v="2024-05-03T00:00:00"/>
    <d v="2024-05-24T00:00:00"/>
    <x v="14"/>
    <n v="9"/>
    <n v="33"/>
    <n v="9.2845976559737667E-5"/>
    <n v="4.7954991262174045E-4"/>
    <n v="1.5825147116517436E-2"/>
    <n v="3.0639172264713432E-3"/>
    <n v="1.2761229890046093E-2"/>
    <n v="1.0671501105823701E-3"/>
    <n v="1.3828380000628464E-2"/>
    <n v="0"/>
    <n v="0"/>
    <n v="0"/>
    <n v="1.3828380000628464E-2"/>
  </r>
  <r>
    <x v="4"/>
    <d v="2024-06-05T00:00:00"/>
    <d v="2024-06-24T00:00:00"/>
    <x v="14"/>
    <n v="9"/>
    <n v="40"/>
    <n v="9.2845976559737667E-5"/>
    <n v="4.7954991262174045E-4"/>
    <n v="1.9181996504869618E-2"/>
    <n v="3.7138390623895068E-3"/>
    <n v="1.5468157442480111E-2"/>
    <n v="1.2935152855543882E-3"/>
    <n v="1.6761672728034499E-2"/>
    <n v="0"/>
    <n v="0"/>
    <n v="0"/>
    <n v="1.6761672728034499E-2"/>
  </r>
  <r>
    <x v="5"/>
    <d v="2024-07-03T00:00:00"/>
    <d v="2024-07-24T00:00:00"/>
    <x v="14"/>
    <n v="9"/>
    <n v="47"/>
    <n v="9.2845976559737667E-5"/>
    <n v="4.7954991262174045E-4"/>
    <n v="2.25388458932218E-2"/>
    <n v="4.36376089830767E-3"/>
    <n v="1.8175084994914131E-2"/>
    <n v="1.519880460526406E-3"/>
    <n v="1.9694965455440538E-2"/>
    <n v="0"/>
    <n v="0"/>
    <n v="0"/>
    <n v="1.9694965455440538E-2"/>
  </r>
  <r>
    <x v="6"/>
    <d v="2024-08-05T00:00:00"/>
    <d v="2024-08-26T00:00:00"/>
    <x v="14"/>
    <n v="9"/>
    <n v="47"/>
    <n v="9.2845976559737667E-5"/>
    <n v="4.7954991262174045E-4"/>
    <n v="2.25388458932218E-2"/>
    <n v="4.36376089830767E-3"/>
    <n v="1.8175084994914131E-2"/>
    <n v="1.519880460526406E-3"/>
    <n v="1.9694965455440538E-2"/>
    <n v="0"/>
    <n v="0"/>
    <n v="0"/>
    <n v="1.9694965455440538E-2"/>
  </r>
  <r>
    <x v="7"/>
    <d v="2024-09-04T00:00:00"/>
    <d v="2024-09-24T00:00:00"/>
    <x v="14"/>
    <n v="9"/>
    <n v="51"/>
    <n v="9.2845976559737667E-5"/>
    <n v="4.7954991262174045E-4"/>
    <n v="2.4457045543708762E-2"/>
    <n v="4.7351448045466213E-3"/>
    <n v="1.9721900739162142E-2"/>
    <n v="1.6492319890818446E-3"/>
    <n v="2.1371132728243987E-2"/>
    <n v="0"/>
    <n v="0"/>
    <n v="0"/>
    <n v="2.1371132728243987E-2"/>
  </r>
  <r>
    <x v="8"/>
    <d v="2024-10-03T00:00:00"/>
    <d v="2024-10-24T00:00:00"/>
    <x v="14"/>
    <n v="9"/>
    <n v="43"/>
    <n v="9.2845976559737667E-5"/>
    <n v="4.7954991262174045E-4"/>
    <n v="2.0620646242734839E-2"/>
    <n v="3.9923769920687194E-3"/>
    <n v="1.6628269250666121E-2"/>
    <n v="1.390528931970967E-3"/>
    <n v="1.8018798182637089E-2"/>
    <n v="0"/>
    <n v="0"/>
    <n v="0"/>
    <n v="1.8018798182637089E-2"/>
  </r>
  <r>
    <x v="9"/>
    <d v="2024-11-05T00:00:00"/>
    <d v="2024-11-25T00:00:00"/>
    <x v="14"/>
    <n v="9"/>
    <n v="37"/>
    <n v="9.2845976559737667E-5"/>
    <n v="4.7954991262174045E-4"/>
    <n v="1.7743346767004398E-2"/>
    <n v="3.4353011327102937E-3"/>
    <n v="1.4308045634294103E-2"/>
    <n v="1.1965016391378089E-3"/>
    <n v="1.5504547273431913E-2"/>
    <n v="0"/>
    <n v="0"/>
    <n v="0"/>
    <n v="1.5504547273431913E-2"/>
  </r>
  <r>
    <x v="10"/>
    <d v="2024-12-04T00:00:00"/>
    <d v="2024-12-24T00:00:00"/>
    <x v="14"/>
    <n v="9"/>
    <n v="34"/>
    <n v="9.2845976559737667E-5"/>
    <n v="4.7954991262174045E-4"/>
    <n v="1.6304697029139177E-2"/>
    <n v="3.1567632030310806E-3"/>
    <n v="1.3147933826108096E-2"/>
    <n v="1.0994879927212298E-3"/>
    <n v="1.4247421818829325E-2"/>
    <n v="0"/>
    <n v="0"/>
    <n v="0"/>
    <n v="1.4247421818829325E-2"/>
  </r>
  <r>
    <x v="11"/>
    <d v="2025-01-03T00:00:00"/>
    <d v="2025-01-24T00:00:00"/>
    <x v="14"/>
    <n v="9"/>
    <n v="32"/>
    <n v="9.2845976559737667E-5"/>
    <n v="4.7954991262174045E-4"/>
    <n v="1.5345597203895694E-2"/>
    <n v="2.9710712499116053E-3"/>
    <n v="1.2374525953984089E-2"/>
    <n v="1.0348122284435104E-3"/>
    <n v="1.3409338182427599E-2"/>
    <n v="0"/>
    <n v="0"/>
    <n v="0"/>
    <n v="1.3409338182427599E-2"/>
  </r>
  <r>
    <x v="0"/>
    <d v="2024-02-05T00:00:00"/>
    <d v="2024-02-26T00:00:00"/>
    <x v="15"/>
    <n v="9"/>
    <n v="104"/>
    <n v="9.2845976559737667E-5"/>
    <n v="4.7954991262174045E-4"/>
    <n v="4.9873190912661007E-2"/>
    <n v="9.6559815622127166E-3"/>
    <n v="4.0217209350448292E-2"/>
    <n v="3.3631397424414089E-3"/>
    <n v="4.35803490928897E-2"/>
    <n v="0"/>
    <n v="0"/>
    <n v="0"/>
    <n v="4.35803490928897E-2"/>
  </r>
  <r>
    <x v="1"/>
    <d v="2024-03-05T00:00:00"/>
    <d v="2024-03-25T00:00:00"/>
    <x v="15"/>
    <n v="9"/>
    <n v="99"/>
    <n v="9.2845976559737667E-5"/>
    <n v="4.7954991262174045E-4"/>
    <n v="4.7475441349552304E-2"/>
    <n v="9.1917516794140283E-3"/>
    <n v="3.8283689670138274E-2"/>
    <n v="3.20145033174711E-3"/>
    <n v="4.1485140001885384E-2"/>
    <n v="0"/>
    <n v="0"/>
    <n v="0"/>
    <n v="4.1485140001885384E-2"/>
  </r>
  <r>
    <x v="2"/>
    <d v="2024-04-03T00:00:00"/>
    <d v="2024-04-24T00:00:00"/>
    <x v="15"/>
    <n v="9"/>
    <n v="99"/>
    <n v="9.2845976559737667E-5"/>
    <n v="4.7954991262174045E-4"/>
    <n v="4.7475441349552304E-2"/>
    <n v="9.1917516794140283E-3"/>
    <n v="3.8283689670138274E-2"/>
    <n v="3.20145033174711E-3"/>
    <n v="4.1485140001885384E-2"/>
    <n v="0"/>
    <n v="0"/>
    <n v="0"/>
    <n v="4.1485140001885384E-2"/>
  </r>
  <r>
    <x v="3"/>
    <d v="2024-05-03T00:00:00"/>
    <d v="2024-05-24T00:00:00"/>
    <x v="15"/>
    <n v="9"/>
    <n v="99"/>
    <n v="9.2845976559737667E-5"/>
    <n v="4.7954991262174045E-4"/>
    <n v="4.7475441349552304E-2"/>
    <n v="9.1917516794140283E-3"/>
    <n v="3.8283689670138274E-2"/>
    <n v="3.20145033174711E-3"/>
    <n v="4.1485140001885384E-2"/>
    <n v="0"/>
    <n v="0"/>
    <n v="0"/>
    <n v="4.1485140001885384E-2"/>
  </r>
  <r>
    <x v="4"/>
    <d v="2024-06-05T00:00:00"/>
    <d v="2024-06-24T00:00:00"/>
    <x v="15"/>
    <n v="9"/>
    <n v="106"/>
    <n v="9.2845976559737667E-5"/>
    <n v="4.7954991262174045E-4"/>
    <n v="5.083229073790449E-2"/>
    <n v="9.8416735153321923E-3"/>
    <n v="4.0990617222572301E-2"/>
    <n v="3.4278155067191283E-3"/>
    <n v="4.4418432729291427E-2"/>
    <n v="0"/>
    <n v="0"/>
    <n v="0"/>
    <n v="4.4418432729291427E-2"/>
  </r>
  <r>
    <x v="5"/>
    <d v="2024-07-03T00:00:00"/>
    <d v="2024-07-24T00:00:00"/>
    <x v="15"/>
    <n v="9"/>
    <n v="120"/>
    <n v="9.2845976559737667E-5"/>
    <n v="4.7954991262174045E-4"/>
    <n v="5.7545989514608854E-2"/>
    <n v="1.114151718716852E-2"/>
    <n v="4.6404472327440334E-2"/>
    <n v="3.880545856663164E-3"/>
    <n v="5.0285018184103497E-2"/>
    <n v="0"/>
    <n v="0"/>
    <n v="0"/>
    <n v="5.0285018184103497E-2"/>
  </r>
  <r>
    <x v="6"/>
    <d v="2024-08-05T00:00:00"/>
    <d v="2024-08-26T00:00:00"/>
    <x v="15"/>
    <n v="9"/>
    <n v="117"/>
    <n v="9.2845976559737667E-5"/>
    <n v="4.7954991262174045E-4"/>
    <n v="5.6107339776743634E-2"/>
    <n v="1.0862979257489308E-2"/>
    <n v="4.5244360519254324E-2"/>
    <n v="3.7835322102465849E-3"/>
    <n v="4.9027892729500908E-2"/>
    <n v="0"/>
    <n v="0"/>
    <n v="0"/>
    <n v="4.9027892729500908E-2"/>
  </r>
  <r>
    <x v="7"/>
    <d v="2024-09-04T00:00:00"/>
    <d v="2024-09-24T00:00:00"/>
    <x v="15"/>
    <n v="9"/>
    <n v="118"/>
    <n v="9.2845976559737667E-5"/>
    <n v="4.7954991262174045E-4"/>
    <n v="5.6586889689365372E-2"/>
    <n v="1.0955825234049045E-2"/>
    <n v="4.5631064455316325E-2"/>
    <n v="3.8158700923854446E-3"/>
    <n v="4.9446934547701771E-2"/>
    <n v="0"/>
    <n v="0"/>
    <n v="0"/>
    <n v="4.9446934547701771E-2"/>
  </r>
  <r>
    <x v="8"/>
    <d v="2024-10-03T00:00:00"/>
    <d v="2024-10-24T00:00:00"/>
    <x v="15"/>
    <n v="9"/>
    <n v="117"/>
    <n v="9.2845976559737667E-5"/>
    <n v="4.7954991262174045E-4"/>
    <n v="5.6107339776743634E-2"/>
    <n v="1.0862979257489308E-2"/>
    <n v="4.5244360519254324E-2"/>
    <n v="3.7835322102465849E-3"/>
    <n v="4.9027892729500908E-2"/>
    <n v="0"/>
    <n v="0"/>
    <n v="0"/>
    <n v="4.9027892729500908E-2"/>
  </r>
  <r>
    <x v="9"/>
    <d v="2024-11-05T00:00:00"/>
    <d v="2024-11-25T00:00:00"/>
    <x v="15"/>
    <n v="9"/>
    <n v="107"/>
    <n v="9.2845976559737667E-5"/>
    <n v="4.7954991262174045E-4"/>
    <n v="5.1311840650526228E-2"/>
    <n v="9.934519491891931E-3"/>
    <n v="4.1377321158634295E-2"/>
    <n v="3.4601533888579876E-3"/>
    <n v="4.4837474547492283E-2"/>
    <n v="0"/>
    <n v="0"/>
    <n v="0"/>
    <n v="4.4837474547492283E-2"/>
  </r>
  <r>
    <x v="10"/>
    <d v="2024-12-04T00:00:00"/>
    <d v="2024-12-24T00:00:00"/>
    <x v="15"/>
    <n v="9"/>
    <n v="91"/>
    <n v="9.2845976559737667E-5"/>
    <n v="4.7954991262174045E-4"/>
    <n v="4.363904204857838E-2"/>
    <n v="8.4489838669361272E-3"/>
    <n v="3.5190058181642253E-2"/>
    <n v="2.9427472746362329E-3"/>
    <n v="3.8132805456278486E-2"/>
    <n v="0"/>
    <n v="0"/>
    <n v="0"/>
    <n v="3.8132805456278486E-2"/>
  </r>
  <r>
    <x v="11"/>
    <d v="2025-01-03T00:00:00"/>
    <d v="2025-01-24T00:00:00"/>
    <x v="15"/>
    <n v="9"/>
    <n v="102"/>
    <n v="9.2845976559737667E-5"/>
    <n v="4.7954991262174045E-4"/>
    <n v="4.8914091087417524E-2"/>
    <n v="9.4702896090932426E-3"/>
    <n v="3.9443801478324284E-2"/>
    <n v="3.2984639781636891E-3"/>
    <n v="4.2742265456487974E-2"/>
    <n v="0"/>
    <n v="0"/>
    <n v="0"/>
    <n v="4.2742265456487974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10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81">
        <item m="1" x="81"/>
        <item m="1" x="105"/>
        <item m="1" x="129"/>
        <item m="1" x="153"/>
        <item m="1" x="177"/>
        <item m="1" x="57"/>
        <item m="1" x="92"/>
        <item m="1" x="116"/>
        <item m="1" x="140"/>
        <item m="1" x="164"/>
        <item m="1" x="44"/>
        <item m="1" x="68"/>
        <item m="1" x="82"/>
        <item m="1" x="106"/>
        <item m="1" x="130"/>
        <item m="1" x="154"/>
        <item m="1" x="178"/>
        <item m="1" x="58"/>
        <item m="1" x="94"/>
        <item m="1" x="118"/>
        <item m="1" x="142"/>
        <item m="1" x="166"/>
        <item m="1" x="46"/>
        <item m="1" x="70"/>
        <item m="1" x="83"/>
        <item m="1" x="107"/>
        <item m="1" x="131"/>
        <item m="1" x="155"/>
        <item m="1" x="179"/>
        <item m="1" x="59"/>
        <item m="1" x="95"/>
        <item m="1" x="119"/>
        <item m="1" x="143"/>
        <item m="1" x="167"/>
        <item m="1" x="47"/>
        <item m="1" x="71"/>
        <item m="1" x="84"/>
        <item m="1" x="108"/>
        <item m="1" x="132"/>
        <item m="1" x="156"/>
        <item m="1" x="36"/>
        <item m="1" x="60"/>
        <item m="1" x="96"/>
        <item m="1" x="120"/>
        <item m="1" x="144"/>
        <item m="1" x="168"/>
        <item m="1" x="48"/>
        <item m="1" x="72"/>
        <item m="1" x="85"/>
        <item m="1" x="109"/>
        <item m="1" x="133"/>
        <item m="1" x="157"/>
        <item m="1" x="37"/>
        <item m="1" x="61"/>
        <item m="1" x="97"/>
        <item m="1" x="121"/>
        <item m="1" x="145"/>
        <item m="1" x="169"/>
        <item m="1" x="49"/>
        <item m="1" x="73"/>
        <item m="1" x="86"/>
        <item m="1" x="110"/>
        <item m="1" x="134"/>
        <item m="1" x="158"/>
        <item m="1" x="38"/>
        <item m="1" x="62"/>
        <item m="1" x="98"/>
        <item m="1" x="122"/>
        <item m="1" x="146"/>
        <item m="1" x="170"/>
        <item m="1" x="50"/>
        <item m="1" x="74"/>
        <item m="1" x="87"/>
        <item m="1" x="111"/>
        <item m="1" x="135"/>
        <item m="1" x="159"/>
        <item m="1" x="39"/>
        <item m="1" x="63"/>
        <item m="1" x="99"/>
        <item m="1" x="123"/>
        <item m="1" x="147"/>
        <item m="1" x="171"/>
        <item m="1" x="51"/>
        <item m="1" x="75"/>
        <item m="1" x="88"/>
        <item m="1" x="112"/>
        <item m="1" x="136"/>
        <item m="1" x="160"/>
        <item m="1" x="40"/>
        <item m="1" x="64"/>
        <item m="1" x="100"/>
        <item m="1" x="124"/>
        <item m="1" x="148"/>
        <item m="1" x="172"/>
        <item m="1" x="52"/>
        <item m="1" x="76"/>
        <item m="1" x="89"/>
        <item m="1" x="113"/>
        <item m="1" x="137"/>
        <item m="1" x="161"/>
        <item m="1" x="41"/>
        <item m="1" x="65"/>
        <item m="1" x="101"/>
        <item m="1" x="125"/>
        <item m="1" x="149"/>
        <item m="1" x="173"/>
        <item m="1" x="53"/>
        <item m="1" x="77"/>
        <item m="1" x="90"/>
        <item m="1" x="114"/>
        <item m="1" x="138"/>
        <item m="1" x="162"/>
        <item m="1" x="42"/>
        <item m="1" x="66"/>
        <item m="1" x="102"/>
        <item m="1" x="126"/>
        <item m="1" x="150"/>
        <item m="1" x="174"/>
        <item m="1" x="54"/>
        <item m="1" x="78"/>
        <item m="1" x="91"/>
        <item m="1" x="115"/>
        <item m="1" x="139"/>
        <item m="1" x="163"/>
        <item m="1" x="43"/>
        <item m="1" x="67"/>
        <item m="1" x="103"/>
        <item m="1" x="127"/>
        <item m="1" x="151"/>
        <item m="1" x="175"/>
        <item m="1" x="55"/>
        <item m="1" x="79"/>
        <item m="1" x="93"/>
        <item m="1" x="117"/>
        <item m="1" x="141"/>
        <item m="1" x="165"/>
        <item m="1" x="45"/>
        <item m="1" x="69"/>
        <item m="1" x="104"/>
        <item m="1" x="128"/>
        <item m="1" x="152"/>
        <item m="1" x="176"/>
        <item m="1" x="56"/>
        <item m="1" x="80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4"/>
  <sheetViews>
    <sheetView zoomScale="85" zoomScaleNormal="85" zoomScaleSheetLayoutView="100" workbookViewId="0">
      <selection activeCell="C6" sqref="C6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37" t="str">
        <f>+Transactions!B1</f>
        <v>AEPTCo Formula Rate -- FERC Docket ER18-194</v>
      </c>
      <c r="D1" s="237"/>
      <c r="E1" s="237"/>
      <c r="F1" s="237"/>
      <c r="G1" s="237"/>
      <c r="H1" s="237"/>
      <c r="I1" s="237"/>
      <c r="J1" s="6">
        <v>2024</v>
      </c>
    </row>
    <row r="2" spans="2:17" ht="13" x14ac:dyDescent="0.3">
      <c r="C2" s="237" t="s">
        <v>97</v>
      </c>
      <c r="D2" s="237"/>
      <c r="E2" s="237"/>
      <c r="F2" s="237"/>
      <c r="G2" s="237"/>
      <c r="H2" s="237"/>
      <c r="I2" s="237"/>
      <c r="J2" s="1">
        <v>2025</v>
      </c>
    </row>
    <row r="3" spans="2:17" ht="13" x14ac:dyDescent="0.3">
      <c r="C3" s="237" t="str">
        <f>"for period 01/01/"&amp;F8&amp;" - 12/31/"&amp;F8</f>
        <v>for period 01/01/2024 - 12/31/2024</v>
      </c>
      <c r="D3" s="237"/>
      <c r="E3" s="237"/>
      <c r="F3" s="237"/>
      <c r="G3" s="237"/>
      <c r="H3" s="237"/>
      <c r="I3" s="237"/>
    </row>
    <row r="4" spans="2:17" ht="13" x14ac:dyDescent="0.3">
      <c r="C4" s="237" t="s">
        <v>83</v>
      </c>
      <c r="D4" s="237"/>
      <c r="E4" s="237"/>
      <c r="F4" s="237"/>
      <c r="G4" s="237"/>
      <c r="H4" s="237"/>
      <c r="I4" s="237"/>
    </row>
    <row r="5" spans="2:17" x14ac:dyDescent="0.25">
      <c r="C5" s="7" t="str">
        <f>"Prepared:  May 24_, "&amp;J2&amp;""</f>
        <v>Prepared:  May 24_, 2025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2024</v>
      </c>
    </row>
    <row r="9" spans="2:17" ht="20.25" customHeight="1" x14ac:dyDescent="0.3">
      <c r="E9" s="12" t="s">
        <v>95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2024 Projections 2024)</v>
      </c>
      <c r="F10" s="18" t="str">
        <f>"(per "&amp;F8+1&amp;" Update of May "&amp;F8+1&amp;")"</f>
        <v>(per 2025 Update of May 2025)</v>
      </c>
      <c r="G10" s="19"/>
      <c r="H10" s="20"/>
    </row>
    <row r="11" spans="2:17" ht="21.75" customHeight="1" x14ac:dyDescent="0.25">
      <c r="B11" s="21"/>
      <c r="C11" s="22" t="s">
        <v>38</v>
      </c>
      <c r="D11" s="23" t="s">
        <v>36</v>
      </c>
      <c r="E11" s="24">
        <f>Transactions!K2</f>
        <v>9.42460938862585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48.845035899999999</v>
      </c>
      <c r="G12" s="32"/>
      <c r="H12" s="33"/>
    </row>
    <row r="13" spans="2:17" ht="21.75" customHeight="1" x14ac:dyDescent="0.25">
      <c r="B13" s="34"/>
      <c r="C13" s="35" t="s">
        <v>39</v>
      </c>
      <c r="D13" s="36" t="s">
        <v>37</v>
      </c>
      <c r="E13" s="37">
        <f>Transactions!K3</f>
        <v>9.2845976559737667E-5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4.7954991262174045E-4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94</v>
      </c>
      <c r="I19" s="54" t="s">
        <v>93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51</v>
      </c>
      <c r="D20" s="56" t="str">
        <f>"Actual Charge
("&amp;F8&amp;" True-Up)"</f>
        <v>Actual Charge
(2024 True-Up)</v>
      </c>
      <c r="E20" s="57" t="str">
        <f>"Invoiced for
CY"&amp;F8&amp;" Transmission Service"</f>
        <v>Invoiced for
CY2024 Transmission Service</v>
      </c>
      <c r="F20" s="56" t="s">
        <v>40</v>
      </c>
      <c r="G20" s="58" t="s">
        <v>7</v>
      </c>
      <c r="H20" s="58" t="s">
        <v>88</v>
      </c>
      <c r="I20" s="59" t="s">
        <v>45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4.6290953065376597</v>
      </c>
      <c r="E21" s="62">
        <f>GETPIVOTDATA("Sum of "&amp;T(Transactions!$K$19),Pivot!$A$3,"Customer",C21)</f>
        <v>0.8962422117311476</v>
      </c>
      <c r="F21" s="62">
        <f>D21-E21</f>
        <v>3.732853094806512</v>
      </c>
      <c r="G21" s="51">
        <f>+GETPIVOTDATA("Sum of "&amp;T(Transactions!$M$19),Pivot!$A$3,"Customer","AECC")</f>
        <v>0.31215757628641266</v>
      </c>
      <c r="H21" s="51">
        <f>GETPIVOTDATA("Sum of "&amp;T(Transactions!$Q$19),Pivot!$A$3,"Customer","AECC")</f>
        <v>0</v>
      </c>
      <c r="I21" s="63">
        <f>F21+G21-H21</f>
        <v>4.0450106710929248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85</v>
      </c>
      <c r="D22" s="62">
        <f>GETPIVOTDATA("Sum of "&amp;T(Transactions!$J$19),Pivot!$A$3,"Customer",C22)</f>
        <v>0.23689765683513977</v>
      </c>
      <c r="E22" s="62">
        <f>GETPIVOTDATA("Sum of "&amp;T(Transactions!$K$19),Pivot!$A$3,"Customer",C22)</f>
        <v>4.5865912420510406E-2</v>
      </c>
      <c r="F22" s="62">
        <f>D22-E22</f>
        <v>0.19103174441462936</v>
      </c>
      <c r="G22" s="51">
        <f>+GETPIVOTDATA("Sum of "&amp;T(Transactions!$M$19),Pivot!$A$3,"Customer","AECI")</f>
        <v>1.597491377659669E-2</v>
      </c>
      <c r="H22" s="51">
        <f>GETPIVOTDATA("Sum of "&amp;T(Transactions!$Q$19),Pivot!$A$3,"Customer",C22)</f>
        <v>0</v>
      </c>
      <c r="I22" s="63">
        <f t="shared" ref="I22:I33" si="0">F22+G22-H22</f>
        <v>0.20700665819122605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55</v>
      </c>
      <c r="D23" s="62">
        <f>GETPIVOTDATA("Sum of "&amp;T(Transactions!$J$19),Pivot!$A$3,"Customer",C23)</f>
        <v>0.74713876386467148</v>
      </c>
      <c r="E23" s="62">
        <f>GETPIVOTDATA("Sum of "&amp;T(Transactions!$K$19),Pivot!$A$3,"Customer",C23)</f>
        <v>0.14465403148007128</v>
      </c>
      <c r="F23" s="62">
        <f t="shared" ref="F23:F35" si="1">D23-E23</f>
        <v>0.60248473238460021</v>
      </c>
      <c r="G23" s="51">
        <f>+GETPIVOTDATA("Sum of "&amp;T(Transactions!$M$19),Pivot!$A$3,"Customer","Bentonville, AR")</f>
        <v>5.038242037234341E-2</v>
      </c>
      <c r="H23" s="51">
        <f>GETPIVOTDATA("Sum of "&amp;T(Transactions!$Q$19),Pivot!$A$3,"Customer",C23)</f>
        <v>0</v>
      </c>
      <c r="I23" s="63">
        <f t="shared" si="0"/>
        <v>0.65286715275694363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0.613344338243206</v>
      </c>
      <c r="E24" s="62">
        <f>GETPIVOTDATA("Sum of "&amp;T(Transactions!$K$19),Pivot!$A$3,"Customer",C24)</f>
        <v>0.11875000401990447</v>
      </c>
      <c r="F24" s="62">
        <f t="shared" si="1"/>
        <v>0.49459433422330151</v>
      </c>
      <c r="G24" s="51">
        <f>+GETPIVOTDATA("Sum of "&amp;T(Transactions!$M$19),Pivot!$A$3,"Customer","Coffeyville, KS")</f>
        <v>4.1360151255601559E-2</v>
      </c>
      <c r="H24" s="51">
        <f>GETPIVOTDATA("Sum of "&amp;T(Transactions!$Q$19),Pivot!$A$3,"Customer",C24)</f>
        <v>0</v>
      </c>
      <c r="I24" s="63">
        <f t="shared" si="0"/>
        <v>0.53595448547890312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4.8616770141592038</v>
      </c>
      <c r="E25" s="62">
        <f>GETPIVOTDATA("Sum of "&amp;T(Transactions!$K$19),Pivot!$A$3,"Customer",C25)</f>
        <v>0.9412725103626205</v>
      </c>
      <c r="F25" s="62">
        <f t="shared" si="1"/>
        <v>3.9204045037965836</v>
      </c>
      <c r="G25" s="51">
        <f>+GETPIVOTDATA("Sum of "&amp;T(Transactions!$M$19),Pivot!$A$3,"Customer","ETEC")</f>
        <v>0.32784144912375968</v>
      </c>
      <c r="H25" s="51">
        <f>GETPIVOTDATA("Sum of "&amp;T(Transactions!$Q$19),Pivot!$A$3,"Customer",C25)</f>
        <v>0</v>
      </c>
      <c r="I25" s="63">
        <f t="shared" si="0"/>
        <v>4.2482459529203433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5.3709590213634931E-2</v>
      </c>
      <c r="E26" s="62">
        <f>GETPIVOTDATA("Sum of "&amp;T(Transactions!$K$19),Pivot!$A$3,"Customer",C26)</f>
        <v>1.0398749374690616E-2</v>
      </c>
      <c r="F26" s="62">
        <f t="shared" si="1"/>
        <v>4.3310840838944313E-2</v>
      </c>
      <c r="G26" s="51">
        <f>+GETPIVOTDATA("Sum of "&amp;T(Transactions!$M$19),Pivot!$A$3,"Customer","Greenbelt")</f>
        <v>3.6218427995522865E-3</v>
      </c>
      <c r="H26" s="51">
        <f>GETPIVOTDATA("Sum of "&amp;T(Transactions!$Q$19),Pivot!$A$3,"Customer",C26)</f>
        <v>0</v>
      </c>
      <c r="I26" s="63">
        <f t="shared" si="0"/>
        <v>4.6932683638496599E-2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58</v>
      </c>
      <c r="D27" s="62">
        <f>GETPIVOTDATA("Sum of "&amp;T(Transactions!$J$19),Pivot!$A$3,"Customer",C27)</f>
        <v>0.22155205963124411</v>
      </c>
      <c r="E27" s="62">
        <f>GETPIVOTDATA("Sum of "&amp;T(Transactions!$K$19),Pivot!$A$3,"Customer",C27)</f>
        <v>4.2894841170598795E-2</v>
      </c>
      <c r="F27" s="62">
        <f t="shared" si="1"/>
        <v>0.17865721846064531</v>
      </c>
      <c r="G27" s="51">
        <f>+GETPIVOTDATA("Sum of "&amp;T(Transactions!$M$19),Pivot!$A$3,"Customer","Hope, AR")</f>
        <v>1.4940101548153183E-2</v>
      </c>
      <c r="H27" s="51">
        <f>GETPIVOTDATA("Sum of "&amp;T(Transactions!$Q$19),Pivot!$A$3,"Customer",C27)</f>
        <v>0</v>
      </c>
      <c r="I27" s="63">
        <f t="shared" si="0"/>
        <v>0.19359732000879848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2.1579746067978318E-2</v>
      </c>
      <c r="E28" s="62">
        <f>GETPIVOTDATA("Sum of "&amp;T(Transactions!$K$19),Pivot!$A$3,"Customer",C28)</f>
        <v>4.1780689451881951E-3</v>
      </c>
      <c r="F28" s="62">
        <f t="shared" si="1"/>
        <v>1.7401677122790123E-2</v>
      </c>
      <c r="G28" s="51">
        <f>+GETPIVOTDATA("Sum of "&amp;T(Transactions!$M$19),Pivot!$A$3,"Customer","Lighthouse")</f>
        <v>1.4552046962486864E-3</v>
      </c>
      <c r="H28" s="51">
        <f>GETPIVOTDATA("Sum of "&amp;T(Transactions!$Q$19),Pivot!$A$3,"Customer",C28)</f>
        <v>0</v>
      </c>
      <c r="I28" s="63">
        <f t="shared" si="0"/>
        <v>1.8856881819038808E-2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57</v>
      </c>
      <c r="D29" s="62">
        <f>GETPIVOTDATA("Sum of "&amp;T(Transactions!$J$19),Pivot!$A$3,"Customer",C29)</f>
        <v>0.1563332715146874</v>
      </c>
      <c r="E29" s="62">
        <f>GETPIVOTDATA("Sum of "&amp;T(Transactions!$K$19),Pivot!$A$3,"Customer",C29)</f>
        <v>3.026778835847448E-2</v>
      </c>
      <c r="F29" s="62">
        <f t="shared" si="1"/>
        <v>0.12606548315621291</v>
      </c>
      <c r="G29" s="51">
        <f>+GETPIVOTDATA("Sum of "&amp;T(Transactions!$M$19),Pivot!$A$3,"Customer","Minden, LA")</f>
        <v>1.0542149577268262E-2</v>
      </c>
      <c r="H29" s="51">
        <f>GETPIVOTDATA("Sum of "&amp;T(Transactions!$Q$19),Pivot!$A$3,"Customer",C29)</f>
        <v>0</v>
      </c>
      <c r="I29" s="63">
        <f t="shared" si="0"/>
        <v>0.13660763273348117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0.37788533114593142</v>
      </c>
      <c r="E30" s="62">
        <f>GETPIVOTDATA("Sum of "&amp;T(Transactions!$K$19),Pivot!$A$3,"Customer",C30)</f>
        <v>7.3162629529073292E-2</v>
      </c>
      <c r="F30" s="62">
        <f t="shared" si="1"/>
        <v>0.3047227016168581</v>
      </c>
      <c r="G30" s="51">
        <f>+GETPIVOTDATA("Sum of "&amp;T(Transactions!$M$19),Pivot!$A$3,"Customer","OG&amp;E")</f>
        <v>2.5482251125421441E-2</v>
      </c>
      <c r="H30" s="51">
        <f>GETPIVOTDATA("Sum of "&amp;T(Transactions!$Q$19),Pivot!$A$3,"Customer",C30)</f>
        <v>0</v>
      </c>
      <c r="I30" s="63">
        <f t="shared" si="0"/>
        <v>0.33020495274227957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0.61286478833058433</v>
      </c>
      <c r="E31" s="62">
        <f>GETPIVOTDATA("Sum of "&amp;T(Transactions!$K$19),Pivot!$A$3,"Customer",C31)</f>
        <v>0.11865715804334473</v>
      </c>
      <c r="F31" s="62">
        <f t="shared" si="1"/>
        <v>0.49420763028723957</v>
      </c>
      <c r="G31" s="51">
        <f>+GETPIVOTDATA("Sum of "&amp;T(Transactions!$M$19),Pivot!$A$3,"Customer","OMPA")</f>
        <v>4.1327813373462696E-2</v>
      </c>
      <c r="H31" s="51">
        <f>GETPIVOTDATA("Sum of "&amp;T(Transactions!$Q$19),Pivot!$A$3,"Customer",C31)</f>
        <v>0</v>
      </c>
      <c r="I31" s="63">
        <f t="shared" si="0"/>
        <v>0.53553544366070227</v>
      </c>
      <c r="J31" s="60"/>
    </row>
    <row r="32" spans="2:17" x14ac:dyDescent="0.25">
      <c r="B32" s="60"/>
      <c r="C32" s="61" t="s">
        <v>56</v>
      </c>
      <c r="D32" s="62">
        <f>GETPIVOTDATA("Sum of "&amp;T(Transactions!$J$19),Pivot!$A$3,"Customer",C32)</f>
        <v>5.7066439601987123E-2</v>
      </c>
      <c r="E32" s="62">
        <f>GETPIVOTDATA("Sum of "&amp;T(Transactions!$K$19),Pivot!$A$3,"Customer",C32)</f>
        <v>1.1048671210608782E-2</v>
      </c>
      <c r="F32" s="62">
        <f t="shared" si="1"/>
        <v>4.601776839137834E-2</v>
      </c>
      <c r="G32" s="51">
        <f>+GETPIVOTDATA("Sum of "&amp;T(Transactions!$M$19),Pivot!$A$3,"Customer","Prescott, AR")</f>
        <v>3.8482079745243039E-3</v>
      </c>
      <c r="H32" s="51">
        <f>GETPIVOTDATA("Sum of "&amp;T(Transactions!$Q$19),Pivot!$A$3,"Customer",C32)</f>
        <v>0</v>
      </c>
      <c r="I32" s="63">
        <f t="shared" si="0"/>
        <v>4.9865976365902641E-2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0.30835059381577912</v>
      </c>
      <c r="E33" s="62">
        <f>GETPIVOTDATA("Sum of "&amp;T(Transactions!$K$19),Pivot!$A$3,"Customer",C33)</f>
        <v>5.9699962927911326E-2</v>
      </c>
      <c r="F33" s="62">
        <f t="shared" si="1"/>
        <v>0.24865063088786779</v>
      </c>
      <c r="G33" s="51">
        <f>+GETPIVOTDATA("Sum of "&amp;T(Transactions!$M$19),Pivot!$A$3,"Customer","WFEC")</f>
        <v>2.0793258215286787E-2</v>
      </c>
      <c r="H33" s="51">
        <f>GETPIVOTDATA("Sum of "&amp;T(Transactions!$Q$19),Pivot!$A$3,"Customer",C33)</f>
        <v>0</v>
      </c>
      <c r="I33" s="63">
        <f t="shared" si="0"/>
        <v>0.26944388910315459</v>
      </c>
      <c r="J33" s="60"/>
    </row>
    <row r="34" spans="2:11" ht="23" x14ac:dyDescent="0.25">
      <c r="C34" s="67" t="s">
        <v>43</v>
      </c>
      <c r="D34" s="68">
        <f t="shared" ref="D34:I34" si="2">SUM(D21:D33)</f>
        <v>12.897494899961711</v>
      </c>
      <c r="E34" s="68">
        <f t="shared" si="2"/>
        <v>2.4970925395741443</v>
      </c>
      <c r="F34" s="68">
        <f t="shared" si="2"/>
        <v>10.400402360387563</v>
      </c>
      <c r="G34" s="69">
        <f t="shared" si="2"/>
        <v>0.86972734012463171</v>
      </c>
      <c r="H34" s="69">
        <f t="shared" si="2"/>
        <v>0</v>
      </c>
      <c r="I34" s="70">
        <f t="shared" si="2"/>
        <v>11.270129700512195</v>
      </c>
    </row>
    <row r="35" spans="2:11" x14ac:dyDescent="0.25">
      <c r="C35" s="71" t="s">
        <v>21</v>
      </c>
      <c r="D35" s="62">
        <f>GETPIVOTDATA("Sum of "&amp;T(Transactions!$J$19),Pivot!$A$3,"Customer",C35)</f>
        <v>18.35956840472333</v>
      </c>
      <c r="E35" s="62">
        <f>GETPIVOTDATA("Sum of "&amp;T(Transactions!$K$19),Pivot!$A$3,"Customer",C35)</f>
        <v>3.5546082125895566</v>
      </c>
      <c r="F35" s="62">
        <f t="shared" si="1"/>
        <v>14.804960192133773</v>
      </c>
      <c r="G35" s="51">
        <f>+GETPIVOTDATA("Sum of "&amp;T(Transactions!$M$19),Pivot!$A$3,"Customer","PSO")</f>
        <v>1.2380558176862435</v>
      </c>
      <c r="H35" s="51">
        <f>GETPIVOTDATA("Sum of "&amp;T(Transactions!$Q$19),Pivot!$A$3,"Customer",C35)</f>
        <v>0</v>
      </c>
      <c r="I35" s="63">
        <f>F35+G35-H35</f>
        <v>16.043016009820018</v>
      </c>
    </row>
    <row r="36" spans="2:11" x14ac:dyDescent="0.25">
      <c r="C36" s="72" t="s">
        <v>22</v>
      </c>
      <c r="D36" s="62">
        <f>GETPIVOTDATA("Sum of "&amp;T(Transactions!$J$19),Pivot!$A$3,"Customer",C36)</f>
        <v>16.823570034595896</v>
      </c>
      <c r="E36" s="62">
        <f>GETPIVOTDATA("Sum of "&amp;T(Transactions!$K$19),Pivot!$A$3,"Customer",C36)</f>
        <v>3.2572225496687168</v>
      </c>
      <c r="F36" s="62">
        <f>D36-E36</f>
        <v>13.56634748492718</v>
      </c>
      <c r="G36" s="51">
        <f>+GETPIVOTDATA("Sum of "&amp;T(Transactions!$M$19),Pivot!$A$3,"Customer","SWEPCO")</f>
        <v>1.1344775811954759</v>
      </c>
      <c r="H36" s="51">
        <f>GETPIVOTDATA("Sum of "&amp;T(Transactions!$Q$19),Pivot!$A$3,"Customer",C36)</f>
        <v>0</v>
      </c>
      <c r="I36" s="63">
        <f>F36+G36-H36</f>
        <v>14.700825066122656</v>
      </c>
    </row>
    <row r="37" spans="2:11" x14ac:dyDescent="0.25">
      <c r="C37" s="73" t="s">
        <v>82</v>
      </c>
      <c r="D37" s="62">
        <f>GETPIVOTDATA("Sum of "&amp;T(Transactions!$J$19),Pivot!$A$3,"Customer",C37)</f>
        <v>0.76200481115594565</v>
      </c>
      <c r="E37" s="62">
        <f>GETPIVOTDATA("Sum of "&amp;T(Transactions!$K$19),Pivot!$A$3,"Customer",C37)</f>
        <v>0.14753225675342316</v>
      </c>
      <c r="F37" s="62">
        <f>D37-E37</f>
        <v>0.61447255440252246</v>
      </c>
      <c r="G37" s="51">
        <f>+GETPIVOTDATA("Sum of "&amp;T(Transactions!$M$19),Pivot!$A$3,"Customer","SWEPCO-Valley")</f>
        <v>5.1384894718648058E-2</v>
      </c>
      <c r="H37" s="51">
        <f>GETPIVOTDATA("Sum of "&amp;T(Transactions!$Q$19),Pivot!$A$3,"Customer",C37)</f>
        <v>0</v>
      </c>
      <c r="I37" s="63">
        <f>F37+G37-H37</f>
        <v>0.66585744912117051</v>
      </c>
    </row>
    <row r="38" spans="2:11" ht="23" x14ac:dyDescent="0.25">
      <c r="C38" s="74" t="s">
        <v>52</v>
      </c>
      <c r="D38" s="75">
        <f t="shared" ref="D38:I38" si="3">SUM(D35:D37)</f>
        <v>35.945143250475169</v>
      </c>
      <c r="E38" s="75">
        <f t="shared" si="3"/>
        <v>6.959363019011696</v>
      </c>
      <c r="F38" s="75">
        <f t="shared" si="3"/>
        <v>28.985780231463476</v>
      </c>
      <c r="G38" s="76">
        <f t="shared" si="3"/>
        <v>2.4239182936003676</v>
      </c>
      <c r="H38" s="76">
        <f t="shared" si="3"/>
        <v>0</v>
      </c>
      <c r="I38" s="77">
        <f t="shared" si="3"/>
        <v>31.409698525063845</v>
      </c>
    </row>
    <row r="39" spans="2:11" ht="23.25" customHeight="1" thickBot="1" x14ac:dyDescent="0.3">
      <c r="C39" s="78" t="s">
        <v>44</v>
      </c>
      <c r="D39" s="79">
        <f t="shared" ref="D39:I39" si="4">SUM(D34,D38)</f>
        <v>48.842638150436883</v>
      </c>
      <c r="E39" s="80">
        <f t="shared" si="4"/>
        <v>9.4564555585858407</v>
      </c>
      <c r="F39" s="79">
        <f t="shared" si="4"/>
        <v>39.386182591851039</v>
      </c>
      <c r="G39" s="80">
        <f t="shared" si="4"/>
        <v>3.2936456337249993</v>
      </c>
      <c r="H39" s="80">
        <f t="shared" si="4"/>
        <v>0</v>
      </c>
      <c r="I39" s="81">
        <f t="shared" si="4"/>
        <v>42.679828225576038</v>
      </c>
      <c r="K39" s="82"/>
    </row>
    <row r="40" spans="2:11" x14ac:dyDescent="0.25">
      <c r="E40" s="50"/>
      <c r="F40" s="50"/>
      <c r="G40" s="50"/>
      <c r="H40" s="50"/>
    </row>
    <row r="41" spans="2:11" x14ac:dyDescent="0.25">
      <c r="C41" s="3"/>
      <c r="D41" s="82"/>
      <c r="E41" s="82"/>
      <c r="F41" s="82"/>
      <c r="G41" s="82"/>
      <c r="H41" s="82"/>
      <c r="I41" s="82"/>
    </row>
    <row r="42" spans="2:11" x14ac:dyDescent="0.25">
      <c r="C42" s="3"/>
    </row>
    <row r="43" spans="2:11" x14ac:dyDescent="0.25">
      <c r="C43" s="3"/>
      <c r="D43" s="82"/>
      <c r="E43" s="82"/>
      <c r="F43" s="82"/>
      <c r="G43" s="82"/>
      <c r="H43" s="82"/>
      <c r="I43" s="82"/>
    </row>
    <row r="44" spans="2:11" x14ac:dyDescent="0.25">
      <c r="D44" s="82"/>
      <c r="E44" s="82"/>
      <c r="F44" s="82"/>
      <c r="G44" s="82"/>
      <c r="H44" s="82"/>
      <c r="I44" s="82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tabSelected="1" zoomScale="85" workbookViewId="0">
      <pane xSplit="2" ySplit="4" topLeftCell="G104" activePane="bottomRight" state="frozen"/>
      <selection activeCell="C6" sqref="C6"/>
      <selection pane="topRight" activeCell="C6" sqref="C6"/>
      <selection pane="bottomLeft" activeCell="C6" sqref="C6"/>
      <selection pane="bottomRight" activeCell="C6" sqref="C6"/>
    </sheetView>
  </sheetViews>
  <sheetFormatPr defaultColWidth="8.7265625" defaultRowHeight="12.5" x14ac:dyDescent="0.25"/>
  <cols>
    <col min="1" max="1" width="19.1796875" style="1" customWidth="1"/>
    <col min="2" max="2" width="28.54296875" style="1" bestFit="1" customWidth="1"/>
    <col min="3" max="14" width="15.453125" style="1" bestFit="1" customWidth="1"/>
    <col min="15" max="15" width="10.54296875" style="1" bestFit="1" customWidth="1"/>
    <col min="16" max="16384" width="8.7265625" style="1"/>
  </cols>
  <sheetData>
    <row r="3" spans="1:15" x14ac:dyDescent="0.25">
      <c r="A3" s="213"/>
      <c r="B3" s="214"/>
      <c r="C3" s="215" t="s">
        <v>54</v>
      </c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</row>
    <row r="4" spans="1:15" x14ac:dyDescent="0.25">
      <c r="A4" s="215" t="s">
        <v>0</v>
      </c>
      <c r="B4" s="215" t="s">
        <v>24</v>
      </c>
      <c r="C4" s="217">
        <v>45292</v>
      </c>
      <c r="D4" s="218">
        <v>45323</v>
      </c>
      <c r="E4" s="218">
        <v>45352</v>
      </c>
      <c r="F4" s="218">
        <v>45383</v>
      </c>
      <c r="G4" s="218">
        <v>45413</v>
      </c>
      <c r="H4" s="218">
        <v>45444</v>
      </c>
      <c r="I4" s="218">
        <v>45474</v>
      </c>
      <c r="J4" s="218">
        <v>45505</v>
      </c>
      <c r="K4" s="218">
        <v>45536</v>
      </c>
      <c r="L4" s="218">
        <v>45566</v>
      </c>
      <c r="M4" s="218">
        <v>45597</v>
      </c>
      <c r="N4" s="218">
        <v>45627</v>
      </c>
      <c r="O4" s="219" t="s">
        <v>18</v>
      </c>
    </row>
    <row r="5" spans="1:15" x14ac:dyDescent="0.25">
      <c r="A5" s="213" t="s">
        <v>14</v>
      </c>
      <c r="B5" s="213" t="s">
        <v>71</v>
      </c>
      <c r="C5" s="220">
        <v>0.54141185134994496</v>
      </c>
      <c r="D5" s="221">
        <v>0.35438738542746617</v>
      </c>
      <c r="E5" s="221">
        <v>0.30787104390315739</v>
      </c>
      <c r="F5" s="221">
        <v>0.27861849923323118</v>
      </c>
      <c r="G5" s="221">
        <v>0.36110108420417059</v>
      </c>
      <c r="H5" s="221">
        <v>0.48002946253436218</v>
      </c>
      <c r="I5" s="221">
        <v>0.46084746602949256</v>
      </c>
      <c r="J5" s="221">
        <v>0.48770226113631004</v>
      </c>
      <c r="K5" s="221">
        <v>0.41049472520420982</v>
      </c>
      <c r="L5" s="221">
        <v>0.37692623132068798</v>
      </c>
      <c r="M5" s="221">
        <v>0.22203160954386583</v>
      </c>
      <c r="N5" s="221">
        <v>0.34767368665076182</v>
      </c>
      <c r="O5" s="222">
        <v>4.6290953065376597</v>
      </c>
    </row>
    <row r="6" spans="1:15" ht="13" x14ac:dyDescent="0.3">
      <c r="A6" s="223"/>
      <c r="B6" s="224" t="s">
        <v>25</v>
      </c>
      <c r="C6" s="225">
        <v>0.43658874381400115</v>
      </c>
      <c r="D6" s="212">
        <v>0.28577420874982007</v>
      </c>
      <c r="E6" s="212">
        <v>0.24826392695180582</v>
      </c>
      <c r="F6" s="212">
        <v>0.22467498685202358</v>
      </c>
      <c r="G6" s="212">
        <v>0.2911880638546881</v>
      </c>
      <c r="H6" s="212">
        <v>0.38709063999806481</v>
      </c>
      <c r="I6" s="212">
        <v>0.37162248255558467</v>
      </c>
      <c r="J6" s="212">
        <v>0.39327790297505683</v>
      </c>
      <c r="K6" s="212">
        <v>0.33101856926907436</v>
      </c>
      <c r="L6" s="212">
        <v>0.30394929374473417</v>
      </c>
      <c r="M6" s="212">
        <v>0.1790439223967073</v>
      </c>
      <c r="N6" s="212">
        <v>0.28036035364495199</v>
      </c>
      <c r="O6" s="226">
        <v>3.7328530948065128</v>
      </c>
    </row>
    <row r="7" spans="1:15" ht="13" x14ac:dyDescent="0.3">
      <c r="A7" s="223"/>
      <c r="B7" s="224" t="s">
        <v>26</v>
      </c>
      <c r="C7" s="225">
        <v>3.6509468934772603E-2</v>
      </c>
      <c r="D7" s="212">
        <v>2.3897694900617317E-2</v>
      </c>
      <c r="E7" s="212">
        <v>2.0760920333147928E-2</v>
      </c>
      <c r="F7" s="212">
        <v>1.8788309522677488E-2</v>
      </c>
      <c r="G7" s="212">
        <v>2.4350425250561355E-2</v>
      </c>
      <c r="H7" s="212">
        <v>3.2370220020998562E-2</v>
      </c>
      <c r="I7" s="212">
        <v>3.1076704735444171E-2</v>
      </c>
      <c r="J7" s="212">
        <v>3.2887626135220317E-2</v>
      </c>
      <c r="K7" s="212">
        <v>2.7681227110863901E-2</v>
      </c>
      <c r="L7" s="212">
        <v>2.5417575361143724E-2</v>
      </c>
      <c r="M7" s="212">
        <v>1.4972439430292042E-2</v>
      </c>
      <c r="N7" s="212">
        <v>2.3444964550673283E-2</v>
      </c>
      <c r="O7" s="226">
        <v>0.31215757628641266</v>
      </c>
    </row>
    <row r="8" spans="1:15" ht="13" x14ac:dyDescent="0.3">
      <c r="A8" s="223"/>
      <c r="B8" s="224" t="s">
        <v>27</v>
      </c>
      <c r="C8" s="225">
        <v>0.47309821274877373</v>
      </c>
      <c r="D8" s="212">
        <v>0.3096719036504374</v>
      </c>
      <c r="E8" s="212">
        <v>0.26902484728495374</v>
      </c>
      <c r="F8" s="212">
        <v>0.24346329637470107</v>
      </c>
      <c r="G8" s="212">
        <v>0.31553848910524945</v>
      </c>
      <c r="H8" s="212">
        <v>0.41946086001906335</v>
      </c>
      <c r="I8" s="212">
        <v>0.40269918729102883</v>
      </c>
      <c r="J8" s="212">
        <v>0.42616552911027716</v>
      </c>
      <c r="K8" s="212">
        <v>0.35869979637993826</v>
      </c>
      <c r="L8" s="212">
        <v>0.32936686910587787</v>
      </c>
      <c r="M8" s="212">
        <v>0.19401636182699933</v>
      </c>
      <c r="N8" s="212">
        <v>0.30380531819562528</v>
      </c>
      <c r="O8" s="226">
        <v>4.0450106710929248</v>
      </c>
    </row>
    <row r="9" spans="1:15" x14ac:dyDescent="0.25">
      <c r="A9" s="223"/>
      <c r="B9" s="224" t="s">
        <v>50</v>
      </c>
      <c r="C9" s="227">
        <v>0.10482310753594383</v>
      </c>
      <c r="D9" s="83">
        <v>6.8613176677646132E-2</v>
      </c>
      <c r="E9" s="83">
        <v>5.9607116951351583E-2</v>
      </c>
      <c r="F9" s="83">
        <v>5.3943512381207585E-2</v>
      </c>
      <c r="G9" s="83">
        <v>6.9913020349482463E-2</v>
      </c>
      <c r="H9" s="83">
        <v>9.29388225362974E-2</v>
      </c>
      <c r="I9" s="83">
        <v>8.9224983473907893E-2</v>
      </c>
      <c r="J9" s="83">
        <v>9.4424358161253205E-2</v>
      </c>
      <c r="K9" s="83">
        <v>7.9476155935135448E-2</v>
      </c>
      <c r="L9" s="83">
        <v>7.2976937575953804E-2</v>
      </c>
      <c r="M9" s="83">
        <v>4.2987687147158539E-2</v>
      </c>
      <c r="N9" s="83">
        <v>6.7313333005809814E-2</v>
      </c>
      <c r="O9" s="228">
        <v>0.8962422117311476</v>
      </c>
    </row>
    <row r="10" spans="1:15" x14ac:dyDescent="0.25">
      <c r="A10" s="223"/>
      <c r="B10" s="224" t="s">
        <v>89</v>
      </c>
      <c r="C10" s="227">
        <v>0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228">
        <v>0</v>
      </c>
    </row>
    <row r="11" spans="1:15" x14ac:dyDescent="0.25">
      <c r="A11" s="223"/>
      <c r="B11" s="224" t="s">
        <v>91</v>
      </c>
      <c r="C11" s="227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228">
        <v>0</v>
      </c>
    </row>
    <row r="12" spans="1:15" x14ac:dyDescent="0.25">
      <c r="A12" s="213" t="s">
        <v>17</v>
      </c>
      <c r="B12" s="213" t="s">
        <v>71</v>
      </c>
      <c r="C12" s="220">
        <v>4.9873190912661007E-2</v>
      </c>
      <c r="D12" s="221">
        <v>4.7475441349552304E-2</v>
      </c>
      <c r="E12" s="221">
        <v>4.7475441349552304E-2</v>
      </c>
      <c r="F12" s="221">
        <v>4.7475441349552304E-2</v>
      </c>
      <c r="G12" s="221">
        <v>5.083229073790449E-2</v>
      </c>
      <c r="H12" s="221">
        <v>5.7545989514608854E-2</v>
      </c>
      <c r="I12" s="221">
        <v>5.6107339776743634E-2</v>
      </c>
      <c r="J12" s="221">
        <v>5.6586889689365372E-2</v>
      </c>
      <c r="K12" s="221">
        <v>5.6107339776743634E-2</v>
      </c>
      <c r="L12" s="221">
        <v>5.1311840650526228E-2</v>
      </c>
      <c r="M12" s="221">
        <v>4.363904204857838E-2</v>
      </c>
      <c r="N12" s="221">
        <v>4.8914091087417524E-2</v>
      </c>
      <c r="O12" s="222">
        <v>0.613344338243206</v>
      </c>
    </row>
    <row r="13" spans="1:15" ht="13" x14ac:dyDescent="0.3">
      <c r="A13" s="223"/>
      <c r="B13" s="224" t="s">
        <v>25</v>
      </c>
      <c r="C13" s="225">
        <v>4.0217209350448292E-2</v>
      </c>
      <c r="D13" s="212">
        <v>3.8283689670138274E-2</v>
      </c>
      <c r="E13" s="212">
        <v>3.8283689670138274E-2</v>
      </c>
      <c r="F13" s="212">
        <v>3.8283689670138274E-2</v>
      </c>
      <c r="G13" s="212">
        <v>4.0990617222572301E-2</v>
      </c>
      <c r="H13" s="212">
        <v>4.6404472327440334E-2</v>
      </c>
      <c r="I13" s="212">
        <v>4.5244360519254324E-2</v>
      </c>
      <c r="J13" s="212">
        <v>4.5631064455316325E-2</v>
      </c>
      <c r="K13" s="212">
        <v>4.5244360519254324E-2</v>
      </c>
      <c r="L13" s="212">
        <v>4.1377321158634295E-2</v>
      </c>
      <c r="M13" s="212">
        <v>3.5190058181642253E-2</v>
      </c>
      <c r="N13" s="212">
        <v>3.9443801478324284E-2</v>
      </c>
      <c r="O13" s="226">
        <v>0.49459433422330157</v>
      </c>
    </row>
    <row r="14" spans="1:15" ht="13" x14ac:dyDescent="0.3">
      <c r="A14" s="223"/>
      <c r="B14" s="224" t="s">
        <v>26</v>
      </c>
      <c r="C14" s="225">
        <v>3.3631397424414089E-3</v>
      </c>
      <c r="D14" s="212">
        <v>3.20145033174711E-3</v>
      </c>
      <c r="E14" s="212">
        <v>3.20145033174711E-3</v>
      </c>
      <c r="F14" s="212">
        <v>3.20145033174711E-3</v>
      </c>
      <c r="G14" s="212">
        <v>3.4278155067191283E-3</v>
      </c>
      <c r="H14" s="212">
        <v>3.880545856663164E-3</v>
      </c>
      <c r="I14" s="212">
        <v>3.7835322102465849E-3</v>
      </c>
      <c r="J14" s="212">
        <v>3.8158700923854446E-3</v>
      </c>
      <c r="K14" s="212">
        <v>3.7835322102465849E-3</v>
      </c>
      <c r="L14" s="212">
        <v>3.4601533888579876E-3</v>
      </c>
      <c r="M14" s="212">
        <v>2.9427472746362329E-3</v>
      </c>
      <c r="N14" s="212">
        <v>3.2984639781636891E-3</v>
      </c>
      <c r="O14" s="226">
        <v>4.1360151255601559E-2</v>
      </c>
    </row>
    <row r="15" spans="1:15" ht="13" x14ac:dyDescent="0.3">
      <c r="A15" s="223"/>
      <c r="B15" s="224" t="s">
        <v>27</v>
      </c>
      <c r="C15" s="225">
        <v>4.35803490928897E-2</v>
      </c>
      <c r="D15" s="212">
        <v>4.1485140001885384E-2</v>
      </c>
      <c r="E15" s="212">
        <v>4.1485140001885384E-2</v>
      </c>
      <c r="F15" s="212">
        <v>4.1485140001885384E-2</v>
      </c>
      <c r="G15" s="212">
        <v>4.4418432729291427E-2</v>
      </c>
      <c r="H15" s="212">
        <v>5.0285018184103497E-2</v>
      </c>
      <c r="I15" s="212">
        <v>4.9027892729500908E-2</v>
      </c>
      <c r="J15" s="212">
        <v>4.9446934547701771E-2</v>
      </c>
      <c r="K15" s="212">
        <v>4.9027892729500908E-2</v>
      </c>
      <c r="L15" s="212">
        <v>4.4837474547492283E-2</v>
      </c>
      <c r="M15" s="212">
        <v>3.8132805456278486E-2</v>
      </c>
      <c r="N15" s="212">
        <v>4.2742265456487974E-2</v>
      </c>
      <c r="O15" s="226">
        <v>0.53595448547890323</v>
      </c>
    </row>
    <row r="16" spans="1:15" x14ac:dyDescent="0.25">
      <c r="A16" s="223"/>
      <c r="B16" s="224" t="s">
        <v>50</v>
      </c>
      <c r="C16" s="227">
        <v>9.6559815622127166E-3</v>
      </c>
      <c r="D16" s="83">
        <v>9.1917516794140283E-3</v>
      </c>
      <c r="E16" s="83">
        <v>9.1917516794140283E-3</v>
      </c>
      <c r="F16" s="83">
        <v>9.1917516794140283E-3</v>
      </c>
      <c r="G16" s="83">
        <v>9.8416735153321923E-3</v>
      </c>
      <c r="H16" s="83">
        <v>1.114151718716852E-2</v>
      </c>
      <c r="I16" s="83">
        <v>1.0862979257489308E-2</v>
      </c>
      <c r="J16" s="83">
        <v>1.0955825234049045E-2</v>
      </c>
      <c r="K16" s="83">
        <v>1.0862979257489308E-2</v>
      </c>
      <c r="L16" s="83">
        <v>9.934519491891931E-3</v>
      </c>
      <c r="M16" s="83">
        <v>8.4489838669361272E-3</v>
      </c>
      <c r="N16" s="83">
        <v>9.4702896090932426E-3</v>
      </c>
      <c r="O16" s="228">
        <v>0.11875000401990447</v>
      </c>
    </row>
    <row r="17" spans="1:15" x14ac:dyDescent="0.25">
      <c r="A17" s="223"/>
      <c r="B17" s="224" t="s">
        <v>89</v>
      </c>
      <c r="C17" s="227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228">
        <v>0</v>
      </c>
    </row>
    <row r="18" spans="1:15" x14ac:dyDescent="0.25">
      <c r="A18" s="223"/>
      <c r="B18" s="224" t="s">
        <v>91</v>
      </c>
      <c r="C18" s="227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228">
        <v>0</v>
      </c>
    </row>
    <row r="19" spans="1:15" x14ac:dyDescent="0.25">
      <c r="A19" s="213" t="s">
        <v>13</v>
      </c>
      <c r="B19" s="213" t="s">
        <v>71</v>
      </c>
      <c r="C19" s="220">
        <v>0.69630647312676719</v>
      </c>
      <c r="D19" s="221">
        <v>0.46324521559260129</v>
      </c>
      <c r="E19" s="221">
        <v>0.35103053603911399</v>
      </c>
      <c r="F19" s="221">
        <v>0.26231380220409201</v>
      </c>
      <c r="G19" s="221">
        <v>0.35822378472844013</v>
      </c>
      <c r="H19" s="221">
        <v>0.43974726987413598</v>
      </c>
      <c r="I19" s="221">
        <v>0.45557241699065343</v>
      </c>
      <c r="J19" s="221">
        <v>0.45077691786443602</v>
      </c>
      <c r="K19" s="221">
        <v>0.3913127286993402</v>
      </c>
      <c r="L19" s="221">
        <v>0.32753259032064874</v>
      </c>
      <c r="M19" s="221">
        <v>0.25176370412641375</v>
      </c>
      <c r="N19" s="221">
        <v>0.413851574592562</v>
      </c>
      <c r="O19" s="222">
        <v>4.8616770141592038</v>
      </c>
    </row>
    <row r="20" spans="1:15" ht="13" x14ac:dyDescent="0.3">
      <c r="A20" s="223"/>
      <c r="B20" s="224" t="s">
        <v>25</v>
      </c>
      <c r="C20" s="225">
        <v>0.56149411516202807</v>
      </c>
      <c r="D20" s="212">
        <v>0.37355600223589469</v>
      </c>
      <c r="E20" s="212">
        <v>0.283067281197386</v>
      </c>
      <c r="F20" s="212">
        <v>0.21152705302591551</v>
      </c>
      <c r="G20" s="212">
        <v>0.28886784023831608</v>
      </c>
      <c r="H20" s="212">
        <v>0.35460750936885654</v>
      </c>
      <c r="I20" s="212">
        <v>0.36736873925890268</v>
      </c>
      <c r="J20" s="212">
        <v>0.36350169989828263</v>
      </c>
      <c r="K20" s="212">
        <v>0.31555041182659427</v>
      </c>
      <c r="L20" s="212">
        <v>0.26411878833034791</v>
      </c>
      <c r="M20" s="212">
        <v>0.20301956643255148</v>
      </c>
      <c r="N20" s="212">
        <v>0.33372549682150843</v>
      </c>
      <c r="O20" s="226">
        <v>3.9204045037965845</v>
      </c>
    </row>
    <row r="21" spans="1:15" ht="13" x14ac:dyDescent="0.3">
      <c r="A21" s="223"/>
      <c r="B21" s="224" t="s">
        <v>26</v>
      </c>
      <c r="C21" s="225">
        <v>4.6954604865624285E-2</v>
      </c>
      <c r="D21" s="212">
        <v>3.1238394146138469E-2</v>
      </c>
      <c r="E21" s="212">
        <v>2.3671329725645302E-2</v>
      </c>
      <c r="F21" s="212">
        <v>1.7688821529956256E-2</v>
      </c>
      <c r="G21" s="212">
        <v>2.4156397957728198E-2</v>
      </c>
      <c r="H21" s="212">
        <v>2.9653837921334344E-2</v>
      </c>
      <c r="I21" s="212">
        <v>3.0720988031916717E-2</v>
      </c>
      <c r="J21" s="212">
        <v>3.0397609210528115E-2</v>
      </c>
      <c r="K21" s="212">
        <v>2.6387711825309513E-2</v>
      </c>
      <c r="L21" s="212">
        <v>2.2086773500841175E-2</v>
      </c>
      <c r="M21" s="212">
        <v>1.6977388122901345E-2</v>
      </c>
      <c r="N21" s="212">
        <v>2.7907592285835919E-2</v>
      </c>
      <c r="O21" s="226">
        <v>0.32784144912375968</v>
      </c>
    </row>
    <row r="22" spans="1:15" ht="13" x14ac:dyDescent="0.3">
      <c r="A22" s="223"/>
      <c r="B22" s="224" t="s">
        <v>27</v>
      </c>
      <c r="C22" s="225">
        <v>0.60844872002765238</v>
      </c>
      <c r="D22" s="212">
        <v>0.40479439638203318</v>
      </c>
      <c r="E22" s="212">
        <v>0.30673861092303129</v>
      </c>
      <c r="F22" s="212">
        <v>0.22921587455587178</v>
      </c>
      <c r="G22" s="212">
        <v>0.3130242381960443</v>
      </c>
      <c r="H22" s="212">
        <v>0.3842613472901909</v>
      </c>
      <c r="I22" s="212">
        <v>0.39808972729081937</v>
      </c>
      <c r="J22" s="212">
        <v>0.39389930910881077</v>
      </c>
      <c r="K22" s="212">
        <v>0.34193812365190379</v>
      </c>
      <c r="L22" s="212">
        <v>0.28620556183118906</v>
      </c>
      <c r="M22" s="212">
        <v>0.21999695455545282</v>
      </c>
      <c r="N22" s="212">
        <v>0.36163308910734437</v>
      </c>
      <c r="O22" s="226">
        <v>4.2482459529203433</v>
      </c>
    </row>
    <row r="23" spans="1:15" x14ac:dyDescent="0.25">
      <c r="A23" s="223"/>
      <c r="B23" s="224" t="s">
        <v>50</v>
      </c>
      <c r="C23" s="227">
        <v>0.13481235796473909</v>
      </c>
      <c r="D23" s="83">
        <v>8.9689213356706585E-2</v>
      </c>
      <c r="E23" s="83">
        <v>6.7963254841727966E-2</v>
      </c>
      <c r="F23" s="83">
        <v>5.07867491781765E-2</v>
      </c>
      <c r="G23" s="83">
        <v>6.9355944490124041E-2</v>
      </c>
      <c r="H23" s="83">
        <v>8.5139760505279438E-2</v>
      </c>
      <c r="I23" s="83">
        <v>8.8203677731750779E-2</v>
      </c>
      <c r="J23" s="83">
        <v>8.7275217966153409E-2</v>
      </c>
      <c r="K23" s="83">
        <v>7.5762316872745941E-2</v>
      </c>
      <c r="L23" s="83">
        <v>6.3413801990300833E-2</v>
      </c>
      <c r="M23" s="83">
        <v>4.8744137693862273E-2</v>
      </c>
      <c r="N23" s="83">
        <v>8.01260777710536E-2</v>
      </c>
      <c r="O23" s="228">
        <v>0.9412725103626205</v>
      </c>
    </row>
    <row r="24" spans="1:15" x14ac:dyDescent="0.25">
      <c r="A24" s="223"/>
      <c r="B24" s="224" t="s">
        <v>89</v>
      </c>
      <c r="C24" s="227">
        <v>0</v>
      </c>
      <c r="D24" s="83">
        <v>0</v>
      </c>
      <c r="E24" s="83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228">
        <v>0</v>
      </c>
    </row>
    <row r="25" spans="1:15" x14ac:dyDescent="0.25">
      <c r="A25" s="223"/>
      <c r="B25" s="224" t="s">
        <v>91</v>
      </c>
      <c r="C25" s="227">
        <v>0</v>
      </c>
      <c r="D25" s="83">
        <v>0</v>
      </c>
      <c r="E25" s="83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228">
        <v>0</v>
      </c>
    </row>
    <row r="26" spans="1:15" x14ac:dyDescent="0.25">
      <c r="A26" s="213" t="s">
        <v>15</v>
      </c>
      <c r="B26" s="213" t="s">
        <v>71</v>
      </c>
      <c r="C26" s="220">
        <v>3.8363993009739236E-3</v>
      </c>
      <c r="D26" s="221">
        <v>2.3977495631087023E-3</v>
      </c>
      <c r="E26" s="221">
        <v>2.3977495631087023E-3</v>
      </c>
      <c r="F26" s="221">
        <v>2.8772994757304427E-3</v>
      </c>
      <c r="G26" s="221">
        <v>4.3159492135956641E-3</v>
      </c>
      <c r="H26" s="221">
        <v>6.7136987767043663E-3</v>
      </c>
      <c r="I26" s="221">
        <v>8.1523485145695886E-3</v>
      </c>
      <c r="J26" s="221">
        <v>9.1114483398130677E-3</v>
      </c>
      <c r="K26" s="221">
        <v>5.275049038839145E-3</v>
      </c>
      <c r="L26" s="221">
        <v>2.8772994757304427E-3</v>
      </c>
      <c r="M26" s="221">
        <v>2.8772994757304427E-3</v>
      </c>
      <c r="N26" s="221">
        <v>2.8772994757304427E-3</v>
      </c>
      <c r="O26" s="222">
        <v>5.3709590213634931E-2</v>
      </c>
    </row>
    <row r="27" spans="1:15" ht="13" x14ac:dyDescent="0.3">
      <c r="A27" s="223"/>
      <c r="B27" s="224" t="s">
        <v>25</v>
      </c>
      <c r="C27" s="225">
        <v>3.0936314884960222E-3</v>
      </c>
      <c r="D27" s="212">
        <v>1.9335196803100139E-3</v>
      </c>
      <c r="E27" s="212">
        <v>1.9335196803100139E-3</v>
      </c>
      <c r="F27" s="212">
        <v>2.3202236163720165E-3</v>
      </c>
      <c r="G27" s="212">
        <v>3.4803354245580252E-3</v>
      </c>
      <c r="H27" s="212">
        <v>5.4138551048680391E-3</v>
      </c>
      <c r="I27" s="212">
        <v>6.5739669130540478E-3</v>
      </c>
      <c r="J27" s="212">
        <v>7.3473747851780522E-3</v>
      </c>
      <c r="K27" s="212">
        <v>4.2537432966820304E-3</v>
      </c>
      <c r="L27" s="212">
        <v>2.3202236163720165E-3</v>
      </c>
      <c r="M27" s="212">
        <v>2.3202236163720165E-3</v>
      </c>
      <c r="N27" s="212">
        <v>2.3202236163720165E-3</v>
      </c>
      <c r="O27" s="226">
        <v>4.331084083894432E-2</v>
      </c>
    </row>
    <row r="28" spans="1:15" ht="13" x14ac:dyDescent="0.3">
      <c r="A28" s="223"/>
      <c r="B28" s="224" t="s">
        <v>26</v>
      </c>
      <c r="C28" s="225">
        <v>2.587030571108776E-4</v>
      </c>
      <c r="D28" s="212">
        <v>1.6168941069429852E-4</v>
      </c>
      <c r="E28" s="212">
        <v>1.6168941069429852E-4</v>
      </c>
      <c r="F28" s="212">
        <v>1.9402729283315818E-4</v>
      </c>
      <c r="G28" s="212">
        <v>2.9104093924973729E-4</v>
      </c>
      <c r="H28" s="212">
        <v>4.5273034994403581E-4</v>
      </c>
      <c r="I28" s="212">
        <v>5.4974399636061489E-4</v>
      </c>
      <c r="J28" s="212">
        <v>6.1441976063833438E-4</v>
      </c>
      <c r="K28" s="212">
        <v>3.5571670352745668E-4</v>
      </c>
      <c r="L28" s="212">
        <v>1.9402729283315818E-4</v>
      </c>
      <c r="M28" s="212">
        <v>1.9402729283315818E-4</v>
      </c>
      <c r="N28" s="212">
        <v>1.9402729283315818E-4</v>
      </c>
      <c r="O28" s="226">
        <v>3.6218427995522865E-3</v>
      </c>
    </row>
    <row r="29" spans="1:15" ht="13" x14ac:dyDescent="0.3">
      <c r="A29" s="223"/>
      <c r="B29" s="224" t="s">
        <v>27</v>
      </c>
      <c r="C29" s="225">
        <v>3.3523345456068997E-3</v>
      </c>
      <c r="D29" s="212">
        <v>2.0952090910043124E-3</v>
      </c>
      <c r="E29" s="212">
        <v>2.0952090910043124E-3</v>
      </c>
      <c r="F29" s="212">
        <v>2.5142509092051747E-3</v>
      </c>
      <c r="G29" s="212">
        <v>3.7713763638077625E-3</v>
      </c>
      <c r="H29" s="212">
        <v>5.8665854548120748E-3</v>
      </c>
      <c r="I29" s="212">
        <v>7.1237109094146626E-3</v>
      </c>
      <c r="J29" s="212">
        <v>7.9617945458163863E-3</v>
      </c>
      <c r="K29" s="212">
        <v>4.6094600002094871E-3</v>
      </c>
      <c r="L29" s="212">
        <v>2.5142509092051747E-3</v>
      </c>
      <c r="M29" s="212">
        <v>2.5142509092051747E-3</v>
      </c>
      <c r="N29" s="212">
        <v>2.5142509092051747E-3</v>
      </c>
      <c r="O29" s="226">
        <v>4.6932683638496592E-2</v>
      </c>
    </row>
    <row r="30" spans="1:15" x14ac:dyDescent="0.25">
      <c r="A30" s="223"/>
      <c r="B30" s="224" t="s">
        <v>50</v>
      </c>
      <c r="C30" s="227">
        <v>7.4276781247790134E-4</v>
      </c>
      <c r="D30" s="83">
        <v>4.6422988279868835E-4</v>
      </c>
      <c r="E30" s="83">
        <v>4.6422988279868835E-4</v>
      </c>
      <c r="F30" s="83">
        <v>5.5707585935842597E-4</v>
      </c>
      <c r="G30" s="83">
        <v>8.3561378903763896E-4</v>
      </c>
      <c r="H30" s="83">
        <v>1.2998436718363274E-3</v>
      </c>
      <c r="I30" s="83">
        <v>1.5783816015155403E-3</v>
      </c>
      <c r="J30" s="83">
        <v>1.7640735546350158E-3</v>
      </c>
      <c r="K30" s="83">
        <v>1.0213057421571143E-3</v>
      </c>
      <c r="L30" s="83">
        <v>5.5707585935842597E-4</v>
      </c>
      <c r="M30" s="83">
        <v>5.5707585935842597E-4</v>
      </c>
      <c r="N30" s="83">
        <v>5.5707585935842597E-4</v>
      </c>
      <c r="O30" s="228">
        <v>1.0398749374690616E-2</v>
      </c>
    </row>
    <row r="31" spans="1:15" x14ac:dyDescent="0.25">
      <c r="A31" s="223"/>
      <c r="B31" s="224" t="s">
        <v>89</v>
      </c>
      <c r="C31" s="227">
        <v>0</v>
      </c>
      <c r="D31" s="83">
        <v>0</v>
      </c>
      <c r="E31" s="83">
        <v>0</v>
      </c>
      <c r="F31" s="83">
        <v>0</v>
      </c>
      <c r="G31" s="83">
        <v>0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228">
        <v>0</v>
      </c>
    </row>
    <row r="32" spans="1:15" x14ac:dyDescent="0.25">
      <c r="A32" s="223"/>
      <c r="B32" s="224" t="s">
        <v>91</v>
      </c>
      <c r="C32" s="227">
        <v>0</v>
      </c>
      <c r="D32" s="83">
        <v>0</v>
      </c>
      <c r="E32" s="83"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228">
        <v>0</v>
      </c>
    </row>
    <row r="33" spans="1:15" x14ac:dyDescent="0.25">
      <c r="A33" s="213" t="s">
        <v>16</v>
      </c>
      <c r="B33" s="213" t="s">
        <v>71</v>
      </c>
      <c r="C33" s="220">
        <v>1.9181996504869618E-3</v>
      </c>
      <c r="D33" s="221">
        <v>1.4386497378652214E-3</v>
      </c>
      <c r="E33" s="221">
        <v>1.4386497378652214E-3</v>
      </c>
      <c r="F33" s="221">
        <v>9.5909982524348091E-4</v>
      </c>
      <c r="G33" s="221">
        <v>1.9181996504869618E-3</v>
      </c>
      <c r="H33" s="221">
        <v>1.9181996504869618E-3</v>
      </c>
      <c r="I33" s="221">
        <v>2.8772994757304427E-3</v>
      </c>
      <c r="J33" s="221">
        <v>2.8772994757304427E-3</v>
      </c>
      <c r="K33" s="221">
        <v>1.4386497378652214E-3</v>
      </c>
      <c r="L33" s="221">
        <v>2.8772994757304427E-3</v>
      </c>
      <c r="M33" s="221">
        <v>4.7954991262174045E-4</v>
      </c>
      <c r="N33" s="221">
        <v>1.4386497378652214E-3</v>
      </c>
      <c r="O33" s="222">
        <v>2.1579746067978318E-2</v>
      </c>
    </row>
    <row r="34" spans="1:15" ht="13" x14ac:dyDescent="0.3">
      <c r="A34" s="223"/>
      <c r="B34" s="224" t="s">
        <v>25</v>
      </c>
      <c r="C34" s="225">
        <v>1.5468157442480111E-3</v>
      </c>
      <c r="D34" s="212">
        <v>1.1601118081860083E-3</v>
      </c>
      <c r="E34" s="212">
        <v>1.1601118081860083E-3</v>
      </c>
      <c r="F34" s="212">
        <v>7.7340787212400554E-4</v>
      </c>
      <c r="G34" s="212">
        <v>1.5468157442480111E-3</v>
      </c>
      <c r="H34" s="212">
        <v>1.5468157442480111E-3</v>
      </c>
      <c r="I34" s="212">
        <v>2.3202236163720165E-3</v>
      </c>
      <c r="J34" s="212">
        <v>2.3202236163720165E-3</v>
      </c>
      <c r="K34" s="212">
        <v>1.1601118081860083E-3</v>
      </c>
      <c r="L34" s="212">
        <v>2.3202236163720165E-3</v>
      </c>
      <c r="M34" s="212">
        <v>3.8670393606200277E-4</v>
      </c>
      <c r="N34" s="212">
        <v>1.1601118081860083E-3</v>
      </c>
      <c r="O34" s="226">
        <v>1.7401677122790126E-2</v>
      </c>
    </row>
    <row r="35" spans="1:15" ht="13" x14ac:dyDescent="0.3">
      <c r="A35" s="223"/>
      <c r="B35" s="224" t="s">
        <v>26</v>
      </c>
      <c r="C35" s="225">
        <v>1.293515285554388E-4</v>
      </c>
      <c r="D35" s="212">
        <v>9.7013646416579092E-5</v>
      </c>
      <c r="E35" s="212">
        <v>9.7013646416579092E-5</v>
      </c>
      <c r="F35" s="212">
        <v>6.4675764277719399E-5</v>
      </c>
      <c r="G35" s="212">
        <v>1.293515285554388E-4</v>
      </c>
      <c r="H35" s="212">
        <v>1.293515285554388E-4</v>
      </c>
      <c r="I35" s="212">
        <v>1.9402729283315818E-4</v>
      </c>
      <c r="J35" s="212">
        <v>1.9402729283315818E-4</v>
      </c>
      <c r="K35" s="212">
        <v>9.7013646416579092E-5</v>
      </c>
      <c r="L35" s="212">
        <v>1.9402729283315818E-4</v>
      </c>
      <c r="M35" s="212">
        <v>3.23378821388597E-5</v>
      </c>
      <c r="N35" s="212">
        <v>9.7013646416579092E-5</v>
      </c>
      <c r="O35" s="226">
        <v>1.4552046962486864E-3</v>
      </c>
    </row>
    <row r="36" spans="1:15" ht="13" x14ac:dyDescent="0.3">
      <c r="A36" s="223"/>
      <c r="B36" s="224" t="s">
        <v>27</v>
      </c>
      <c r="C36" s="225">
        <v>1.6761672728034499E-3</v>
      </c>
      <c r="D36" s="212">
        <v>1.2571254546025873E-3</v>
      </c>
      <c r="E36" s="212">
        <v>1.2571254546025873E-3</v>
      </c>
      <c r="F36" s="212">
        <v>8.3808363640172493E-4</v>
      </c>
      <c r="G36" s="212">
        <v>1.6761672728034499E-3</v>
      </c>
      <c r="H36" s="212">
        <v>1.6761672728034499E-3</v>
      </c>
      <c r="I36" s="212">
        <v>2.5142509092051747E-3</v>
      </c>
      <c r="J36" s="212">
        <v>2.5142509092051747E-3</v>
      </c>
      <c r="K36" s="212">
        <v>1.2571254546025873E-3</v>
      </c>
      <c r="L36" s="212">
        <v>2.5142509092051747E-3</v>
      </c>
      <c r="M36" s="212">
        <v>4.1904181820086247E-4</v>
      </c>
      <c r="N36" s="212">
        <v>1.2571254546025873E-3</v>
      </c>
      <c r="O36" s="226">
        <v>1.8856881819038811E-2</v>
      </c>
    </row>
    <row r="37" spans="1:15" x14ac:dyDescent="0.25">
      <c r="A37" s="223"/>
      <c r="B37" s="224" t="s">
        <v>50</v>
      </c>
      <c r="C37" s="227">
        <v>3.7138390623895067E-4</v>
      </c>
      <c r="D37" s="83">
        <v>2.7853792967921299E-4</v>
      </c>
      <c r="E37" s="83">
        <v>2.7853792967921299E-4</v>
      </c>
      <c r="F37" s="83">
        <v>1.8569195311947533E-4</v>
      </c>
      <c r="G37" s="83">
        <v>3.7138390623895067E-4</v>
      </c>
      <c r="H37" s="83">
        <v>3.7138390623895067E-4</v>
      </c>
      <c r="I37" s="83">
        <v>5.5707585935842597E-4</v>
      </c>
      <c r="J37" s="83">
        <v>5.5707585935842597E-4</v>
      </c>
      <c r="K37" s="83">
        <v>2.7853792967921299E-4</v>
      </c>
      <c r="L37" s="83">
        <v>5.5707585935842597E-4</v>
      </c>
      <c r="M37" s="83">
        <v>9.2845976559737667E-5</v>
      </c>
      <c r="N37" s="83">
        <v>2.7853792967921299E-4</v>
      </c>
      <c r="O37" s="228">
        <v>4.1780689451881951E-3</v>
      </c>
    </row>
    <row r="38" spans="1:15" x14ac:dyDescent="0.25">
      <c r="A38" s="223"/>
      <c r="B38" s="224" t="s">
        <v>89</v>
      </c>
      <c r="C38" s="227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228">
        <v>0</v>
      </c>
    </row>
    <row r="39" spans="1:15" x14ac:dyDescent="0.25">
      <c r="A39" s="223"/>
      <c r="B39" s="224" t="s">
        <v>91</v>
      </c>
      <c r="C39" s="227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228">
        <v>0</v>
      </c>
    </row>
    <row r="40" spans="1:15" x14ac:dyDescent="0.25">
      <c r="A40" s="213" t="s">
        <v>19</v>
      </c>
      <c r="B40" s="213" t="s">
        <v>71</v>
      </c>
      <c r="C40" s="220">
        <v>3.117074432041313E-2</v>
      </c>
      <c r="D40" s="221">
        <v>3.117074432041313E-2</v>
      </c>
      <c r="E40" s="221">
        <v>3.0691194407791389E-2</v>
      </c>
      <c r="F40" s="221">
        <v>3.117074432041313E-2</v>
      </c>
      <c r="G40" s="221">
        <v>2.4457045543708762E-2</v>
      </c>
      <c r="H40" s="221">
        <v>2.8293444844682686E-2</v>
      </c>
      <c r="I40" s="221">
        <v>3.2129844145656609E-2</v>
      </c>
      <c r="J40" s="221">
        <v>3.356849388352183E-2</v>
      </c>
      <c r="K40" s="221">
        <v>3.4527593708765313E-2</v>
      </c>
      <c r="L40" s="221">
        <v>3.500714362138705E-2</v>
      </c>
      <c r="M40" s="221">
        <v>3.4527593708765313E-2</v>
      </c>
      <c r="N40" s="221">
        <v>3.117074432041313E-2</v>
      </c>
      <c r="O40" s="222">
        <v>0.37788533114593142</v>
      </c>
    </row>
    <row r="41" spans="1:15" ht="13" x14ac:dyDescent="0.3">
      <c r="A41" s="223"/>
      <c r="B41" s="224" t="s">
        <v>25</v>
      </c>
      <c r="C41" s="225">
        <v>2.5135755844030182E-2</v>
      </c>
      <c r="D41" s="212">
        <v>2.5135755844030182E-2</v>
      </c>
      <c r="E41" s="212">
        <v>2.4749051907968177E-2</v>
      </c>
      <c r="F41" s="212">
        <v>2.5135755844030182E-2</v>
      </c>
      <c r="G41" s="212">
        <v>1.9721900739162142E-2</v>
      </c>
      <c r="H41" s="212">
        <v>2.2815532227658163E-2</v>
      </c>
      <c r="I41" s="212">
        <v>2.5909163716154187E-2</v>
      </c>
      <c r="J41" s="212">
        <v>2.7069275524340193E-2</v>
      </c>
      <c r="K41" s="212">
        <v>2.7842683396464202E-2</v>
      </c>
      <c r="L41" s="212">
        <v>2.8229387332526203E-2</v>
      </c>
      <c r="M41" s="212">
        <v>2.7842683396464202E-2</v>
      </c>
      <c r="N41" s="212">
        <v>2.5135755844030182E-2</v>
      </c>
      <c r="O41" s="226">
        <v>0.30472270161685822</v>
      </c>
    </row>
    <row r="42" spans="1:15" ht="13" x14ac:dyDescent="0.3">
      <c r="A42" s="223"/>
      <c r="B42" s="224" t="s">
        <v>26</v>
      </c>
      <c r="C42" s="225">
        <v>2.1019623390258805E-3</v>
      </c>
      <c r="D42" s="212">
        <v>2.1019623390258805E-3</v>
      </c>
      <c r="E42" s="212">
        <v>2.0696244568870208E-3</v>
      </c>
      <c r="F42" s="212">
        <v>2.1019623390258805E-3</v>
      </c>
      <c r="G42" s="212">
        <v>1.6492319890818446E-3</v>
      </c>
      <c r="H42" s="212">
        <v>1.9079350461927223E-3</v>
      </c>
      <c r="I42" s="212">
        <v>2.1666381033035999E-3</v>
      </c>
      <c r="J42" s="212">
        <v>2.2636517497201789E-3</v>
      </c>
      <c r="K42" s="212">
        <v>2.3283275139978983E-3</v>
      </c>
      <c r="L42" s="212">
        <v>2.360665396136758E-3</v>
      </c>
      <c r="M42" s="212">
        <v>2.3283275139978983E-3</v>
      </c>
      <c r="N42" s="212">
        <v>2.1019623390258805E-3</v>
      </c>
      <c r="O42" s="226">
        <v>2.5482251125421441E-2</v>
      </c>
    </row>
    <row r="43" spans="1:15" ht="13" x14ac:dyDescent="0.3">
      <c r="A43" s="223"/>
      <c r="B43" s="224" t="s">
        <v>27</v>
      </c>
      <c r="C43" s="225">
        <v>2.7237718183056061E-2</v>
      </c>
      <c r="D43" s="212">
        <v>2.7237718183056061E-2</v>
      </c>
      <c r="E43" s="212">
        <v>2.6818676364855198E-2</v>
      </c>
      <c r="F43" s="212">
        <v>2.7237718183056061E-2</v>
      </c>
      <c r="G43" s="212">
        <v>2.1371132728243987E-2</v>
      </c>
      <c r="H43" s="212">
        <v>2.4723467273850885E-2</v>
      </c>
      <c r="I43" s="212">
        <v>2.8075801819457787E-2</v>
      </c>
      <c r="J43" s="212">
        <v>2.9332927274060373E-2</v>
      </c>
      <c r="K43" s="212">
        <v>3.01710109104621E-2</v>
      </c>
      <c r="L43" s="212">
        <v>3.0590052728662959E-2</v>
      </c>
      <c r="M43" s="212">
        <v>3.01710109104621E-2</v>
      </c>
      <c r="N43" s="212">
        <v>2.7237718183056061E-2</v>
      </c>
      <c r="O43" s="226">
        <v>0.33020495274227957</v>
      </c>
    </row>
    <row r="44" spans="1:15" x14ac:dyDescent="0.25">
      <c r="A44" s="223"/>
      <c r="B44" s="224" t="s">
        <v>50</v>
      </c>
      <c r="C44" s="227">
        <v>6.0349884763829485E-3</v>
      </c>
      <c r="D44" s="83">
        <v>6.0349884763829485E-3</v>
      </c>
      <c r="E44" s="83">
        <v>5.9421424998232107E-3</v>
      </c>
      <c r="F44" s="83">
        <v>6.0349884763829485E-3</v>
      </c>
      <c r="G44" s="83">
        <v>4.7351448045466213E-3</v>
      </c>
      <c r="H44" s="83">
        <v>5.4779126170245223E-3</v>
      </c>
      <c r="I44" s="83">
        <v>6.2206804295024233E-3</v>
      </c>
      <c r="J44" s="83">
        <v>6.4992183591816369E-3</v>
      </c>
      <c r="K44" s="83">
        <v>6.6849103123011117E-3</v>
      </c>
      <c r="L44" s="83">
        <v>6.7777562888608495E-3</v>
      </c>
      <c r="M44" s="83">
        <v>6.6849103123011117E-3</v>
      </c>
      <c r="N44" s="83">
        <v>6.0349884763829485E-3</v>
      </c>
      <c r="O44" s="228">
        <v>7.3162629529073292E-2</v>
      </c>
    </row>
    <row r="45" spans="1:15" x14ac:dyDescent="0.25">
      <c r="A45" s="223"/>
      <c r="B45" s="224" t="s">
        <v>89</v>
      </c>
      <c r="C45" s="227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228">
        <v>0</v>
      </c>
    </row>
    <row r="46" spans="1:15" x14ac:dyDescent="0.25">
      <c r="A46" s="223"/>
      <c r="B46" s="224" t="s">
        <v>91</v>
      </c>
      <c r="C46" s="227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228">
        <v>0</v>
      </c>
    </row>
    <row r="47" spans="1:15" x14ac:dyDescent="0.25">
      <c r="A47" s="213" t="s">
        <v>8</v>
      </c>
      <c r="B47" s="213" t="s">
        <v>71</v>
      </c>
      <c r="C47" s="220">
        <v>4.5077691786443601E-2</v>
      </c>
      <c r="D47" s="221">
        <v>2.9732094582547906E-2</v>
      </c>
      <c r="E47" s="221">
        <v>2.8772994757304427E-2</v>
      </c>
      <c r="F47" s="221">
        <v>4.4118591961200118E-2</v>
      </c>
      <c r="G47" s="221">
        <v>5.6586889689365372E-2</v>
      </c>
      <c r="H47" s="221">
        <v>6.8575637504908887E-2</v>
      </c>
      <c r="I47" s="221">
        <v>7.2412036805882804E-2</v>
      </c>
      <c r="J47" s="221">
        <v>7.5289336281613245E-2</v>
      </c>
      <c r="K47" s="221">
        <v>7.0014287242774101E-2</v>
      </c>
      <c r="L47" s="221">
        <v>5.5627789864121896E-2</v>
      </c>
      <c r="M47" s="221">
        <v>2.9732094582547906E-2</v>
      </c>
      <c r="N47" s="221">
        <v>3.6925343271874016E-2</v>
      </c>
      <c r="O47" s="222">
        <v>0.61286478833058433</v>
      </c>
    </row>
    <row r="48" spans="1:15" ht="13" x14ac:dyDescent="0.3">
      <c r="A48" s="223"/>
      <c r="B48" s="224" t="s">
        <v>25</v>
      </c>
      <c r="C48" s="225">
        <v>3.6350169989828263E-2</v>
      </c>
      <c r="D48" s="212">
        <v>2.3975644035844172E-2</v>
      </c>
      <c r="E48" s="212">
        <v>2.3202236163720167E-2</v>
      </c>
      <c r="F48" s="212">
        <v>3.5576762117704254E-2</v>
      </c>
      <c r="G48" s="212">
        <v>4.5631064455316325E-2</v>
      </c>
      <c r="H48" s="212">
        <v>5.5298662856866403E-2</v>
      </c>
      <c r="I48" s="212">
        <v>5.8392294345362417E-2</v>
      </c>
      <c r="J48" s="212">
        <v>6.0712517961734429E-2</v>
      </c>
      <c r="K48" s="212">
        <v>5.6458774665052405E-2</v>
      </c>
      <c r="L48" s="212">
        <v>4.4857656583192324E-2</v>
      </c>
      <c r="M48" s="212">
        <v>2.3975644035844172E-2</v>
      </c>
      <c r="N48" s="212">
        <v>2.9776203076774217E-2</v>
      </c>
      <c r="O48" s="226">
        <v>0.49420763028723957</v>
      </c>
    </row>
    <row r="49" spans="1:15" ht="13" x14ac:dyDescent="0.3">
      <c r="A49" s="223"/>
      <c r="B49" s="224" t="s">
        <v>26</v>
      </c>
      <c r="C49" s="225">
        <v>3.039760921052812E-3</v>
      </c>
      <c r="D49" s="212">
        <v>2.0049486926093014E-3</v>
      </c>
      <c r="E49" s="212">
        <v>1.940272928331582E-3</v>
      </c>
      <c r="F49" s="212">
        <v>2.9750851567750922E-3</v>
      </c>
      <c r="G49" s="212">
        <v>3.8158700923854446E-3</v>
      </c>
      <c r="H49" s="212">
        <v>4.624317145856937E-3</v>
      </c>
      <c r="I49" s="212">
        <v>4.8830202029678145E-3</v>
      </c>
      <c r="J49" s="212">
        <v>5.0770474958009727E-3</v>
      </c>
      <c r="K49" s="212">
        <v>4.721330792273516E-3</v>
      </c>
      <c r="L49" s="212">
        <v>3.7511943281077248E-3</v>
      </c>
      <c r="M49" s="212">
        <v>2.0049486926093014E-3</v>
      </c>
      <c r="N49" s="212">
        <v>2.4900169246921968E-3</v>
      </c>
      <c r="O49" s="226">
        <v>4.1327813373462696E-2</v>
      </c>
    </row>
    <row r="50" spans="1:15" ht="13" x14ac:dyDescent="0.3">
      <c r="A50" s="223"/>
      <c r="B50" s="224" t="s">
        <v>27</v>
      </c>
      <c r="C50" s="225">
        <v>3.9389930910881076E-2</v>
      </c>
      <c r="D50" s="212">
        <v>2.5980592728453475E-2</v>
      </c>
      <c r="E50" s="212">
        <v>2.5142509092051749E-2</v>
      </c>
      <c r="F50" s="212">
        <v>3.8551847274479349E-2</v>
      </c>
      <c r="G50" s="212">
        <v>4.9446934547701771E-2</v>
      </c>
      <c r="H50" s="212">
        <v>5.9922980002723336E-2</v>
      </c>
      <c r="I50" s="212">
        <v>6.3275314548330228E-2</v>
      </c>
      <c r="J50" s="212">
        <v>6.5789565457535407E-2</v>
      </c>
      <c r="K50" s="212">
        <v>6.1180105457325919E-2</v>
      </c>
      <c r="L50" s="212">
        <v>4.8608850911300051E-2</v>
      </c>
      <c r="M50" s="212">
        <v>2.5980592728453475E-2</v>
      </c>
      <c r="N50" s="212">
        <v>3.2266220001466416E-2</v>
      </c>
      <c r="O50" s="226">
        <v>0.53553544366070227</v>
      </c>
    </row>
    <row r="51" spans="1:15" x14ac:dyDescent="0.25">
      <c r="A51" s="223"/>
      <c r="B51" s="224" t="s">
        <v>50</v>
      </c>
      <c r="C51" s="227">
        <v>8.7275217966153399E-3</v>
      </c>
      <c r="D51" s="83">
        <v>5.756450546703735E-3</v>
      </c>
      <c r="E51" s="83">
        <v>5.5707585935842602E-3</v>
      </c>
      <c r="F51" s="83">
        <v>8.541829843495866E-3</v>
      </c>
      <c r="G51" s="83">
        <v>1.0955825234049045E-2</v>
      </c>
      <c r="H51" s="83">
        <v>1.3276974648042486E-2</v>
      </c>
      <c r="I51" s="83">
        <v>1.4019742460520387E-2</v>
      </c>
      <c r="J51" s="83">
        <v>1.4576818319878814E-2</v>
      </c>
      <c r="K51" s="83">
        <v>1.3555512577721699E-2</v>
      </c>
      <c r="L51" s="83">
        <v>1.0770133280929569E-2</v>
      </c>
      <c r="M51" s="83">
        <v>5.756450546703735E-3</v>
      </c>
      <c r="N51" s="83">
        <v>7.1491401950998E-3</v>
      </c>
      <c r="O51" s="228">
        <v>0.11865715804334473</v>
      </c>
    </row>
    <row r="52" spans="1:15" x14ac:dyDescent="0.25">
      <c r="A52" s="223"/>
      <c r="B52" s="224" t="s">
        <v>89</v>
      </c>
      <c r="C52" s="227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228">
        <v>0</v>
      </c>
    </row>
    <row r="53" spans="1:15" x14ac:dyDescent="0.25">
      <c r="A53" s="223"/>
      <c r="B53" s="224" t="s">
        <v>91</v>
      </c>
      <c r="C53" s="227">
        <v>0</v>
      </c>
      <c r="D53" s="83">
        <v>0</v>
      </c>
      <c r="E53" s="83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228">
        <v>0</v>
      </c>
    </row>
    <row r="54" spans="1:15" x14ac:dyDescent="0.25">
      <c r="A54" s="213" t="s">
        <v>21</v>
      </c>
      <c r="B54" s="213" t="s">
        <v>71</v>
      </c>
      <c r="C54" s="220">
        <v>1.5594963158458999</v>
      </c>
      <c r="D54" s="221">
        <v>1.1211876957096292</v>
      </c>
      <c r="E54" s="221">
        <v>1.0626826063697767</v>
      </c>
      <c r="F54" s="221">
        <v>1.3317101073505733</v>
      </c>
      <c r="G54" s="221">
        <v>1.5561394664575479</v>
      </c>
      <c r="H54" s="221">
        <v>1.9565636434967011</v>
      </c>
      <c r="I54" s="221">
        <v>1.9896525874676012</v>
      </c>
      <c r="J54" s="221">
        <v>1.9906116872928445</v>
      </c>
      <c r="K54" s="221">
        <v>1.8505831128072965</v>
      </c>
      <c r="L54" s="221">
        <v>1.644376650379948</v>
      </c>
      <c r="M54" s="221">
        <v>1.0646008060202639</v>
      </c>
      <c r="N54" s="221">
        <v>1.2319637255252511</v>
      </c>
      <c r="O54" s="222">
        <v>18.35956840472333</v>
      </c>
    </row>
    <row r="55" spans="1:15" ht="13" x14ac:dyDescent="0.3">
      <c r="A55" s="223"/>
      <c r="B55" s="224" t="s">
        <v>25</v>
      </c>
      <c r="C55" s="225">
        <v>1.2575612000736329</v>
      </c>
      <c r="D55" s="212">
        <v>0.90411380251296247</v>
      </c>
      <c r="E55" s="212">
        <v>0.8569359223133981</v>
      </c>
      <c r="F55" s="212">
        <v>1.0738768304441817</v>
      </c>
      <c r="G55" s="212">
        <v>1.2548542725211991</v>
      </c>
      <c r="H55" s="212">
        <v>1.5777520591329715</v>
      </c>
      <c r="I55" s="212">
        <v>1.6044346307212496</v>
      </c>
      <c r="J55" s="212">
        <v>1.6052080385933736</v>
      </c>
      <c r="K55" s="212">
        <v>1.4922904892632689</v>
      </c>
      <c r="L55" s="212">
        <v>1.3260077967566075</v>
      </c>
      <c r="M55" s="212">
        <v>0.8584827380576463</v>
      </c>
      <c r="N55" s="212">
        <v>0.99344241174328507</v>
      </c>
      <c r="O55" s="226">
        <v>14.804960192133775</v>
      </c>
    </row>
    <row r="56" spans="1:15" ht="13" x14ac:dyDescent="0.3">
      <c r="A56" s="223"/>
      <c r="B56" s="224" t="s">
        <v>26</v>
      </c>
      <c r="C56" s="225">
        <v>0.10516279271557175</v>
      </c>
      <c r="D56" s="212">
        <v>7.5605968440653981E-2</v>
      </c>
      <c r="E56" s="212">
        <v>7.1660746819713086E-2</v>
      </c>
      <c r="F56" s="212">
        <v>8.9802298699613384E-2</v>
      </c>
      <c r="G56" s="212">
        <v>0.10493642754059972</v>
      </c>
      <c r="H56" s="212">
        <v>0.13193855912654756</v>
      </c>
      <c r="I56" s="212">
        <v>0.13416987299412889</v>
      </c>
      <c r="J56" s="212">
        <v>0.13423454875840662</v>
      </c>
      <c r="K56" s="212">
        <v>0.12479188717385958</v>
      </c>
      <c r="L56" s="212">
        <v>0.11088659785414992</v>
      </c>
      <c r="M56" s="212">
        <v>7.1790098348268536E-2</v>
      </c>
      <c r="N56" s="212">
        <v>8.3076019214730568E-2</v>
      </c>
      <c r="O56" s="226">
        <v>1.2380558176862435</v>
      </c>
    </row>
    <row r="57" spans="1:15" ht="13" x14ac:dyDescent="0.3">
      <c r="A57" s="223"/>
      <c r="B57" s="224" t="s">
        <v>27</v>
      </c>
      <c r="C57" s="225">
        <v>1.3627239927892048</v>
      </c>
      <c r="D57" s="212">
        <v>0.97971977095361651</v>
      </c>
      <c r="E57" s="212">
        <v>0.92859666913311123</v>
      </c>
      <c r="F57" s="212">
        <v>1.1636791291437951</v>
      </c>
      <c r="G57" s="212">
        <v>1.3597907000617988</v>
      </c>
      <c r="H57" s="212">
        <v>1.7096906182595191</v>
      </c>
      <c r="I57" s="212">
        <v>1.7386045037153786</v>
      </c>
      <c r="J57" s="212">
        <v>1.7394425873517803</v>
      </c>
      <c r="K57" s="212">
        <v>1.6170823764371285</v>
      </c>
      <c r="L57" s="212">
        <v>1.4368943946107575</v>
      </c>
      <c r="M57" s="212">
        <v>0.93027283640591485</v>
      </c>
      <c r="N57" s="212">
        <v>1.0765184309580156</v>
      </c>
      <c r="O57" s="226">
        <v>16.043016009820022</v>
      </c>
    </row>
    <row r="58" spans="1:15" x14ac:dyDescent="0.25">
      <c r="A58" s="223"/>
      <c r="B58" s="224" t="s">
        <v>50</v>
      </c>
      <c r="C58" s="227">
        <v>0.30193511577226689</v>
      </c>
      <c r="D58" s="83">
        <v>0.21707389319666667</v>
      </c>
      <c r="E58" s="83">
        <v>0.20574668405637866</v>
      </c>
      <c r="F58" s="83">
        <v>0.25783327690639152</v>
      </c>
      <c r="G58" s="83">
        <v>0.30128519393634873</v>
      </c>
      <c r="H58" s="83">
        <v>0.37881158436372969</v>
      </c>
      <c r="I58" s="83">
        <v>0.38521795674635156</v>
      </c>
      <c r="J58" s="83">
        <v>0.38540364869947108</v>
      </c>
      <c r="K58" s="83">
        <v>0.35829262354402763</v>
      </c>
      <c r="L58" s="83">
        <v>0.31836885362334044</v>
      </c>
      <c r="M58" s="83">
        <v>0.20611806796261761</v>
      </c>
      <c r="N58" s="83">
        <v>0.23852131378196606</v>
      </c>
      <c r="O58" s="228">
        <v>3.5546082125895566</v>
      </c>
    </row>
    <row r="59" spans="1:15" x14ac:dyDescent="0.25">
      <c r="A59" s="223"/>
      <c r="B59" s="224" t="s">
        <v>89</v>
      </c>
      <c r="C59" s="227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228">
        <v>0</v>
      </c>
    </row>
    <row r="60" spans="1:15" x14ac:dyDescent="0.25">
      <c r="A60" s="223"/>
      <c r="B60" s="224" t="s">
        <v>91</v>
      </c>
      <c r="C60" s="227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228">
        <v>0</v>
      </c>
    </row>
    <row r="61" spans="1:15" x14ac:dyDescent="0.25">
      <c r="A61" s="213" t="s">
        <v>22</v>
      </c>
      <c r="B61" s="213" t="s">
        <v>71</v>
      </c>
      <c r="C61" s="220">
        <v>1.585392011127474</v>
      </c>
      <c r="D61" s="221">
        <v>1.2521048218553643</v>
      </c>
      <c r="E61" s="221">
        <v>1.1039238988552464</v>
      </c>
      <c r="F61" s="221">
        <v>1.1921610827776468</v>
      </c>
      <c r="G61" s="221">
        <v>1.4242632404865692</v>
      </c>
      <c r="H61" s="221">
        <v>1.6702723456615221</v>
      </c>
      <c r="I61" s="221">
        <v>1.683220193302309</v>
      </c>
      <c r="J61" s="221">
        <v>1.7139113877101004</v>
      </c>
      <c r="K61" s="221">
        <v>1.5288051214381086</v>
      </c>
      <c r="L61" s="221">
        <v>1.3393829059525211</v>
      </c>
      <c r="M61" s="221">
        <v>1.121667245622251</v>
      </c>
      <c r="N61" s="221">
        <v>1.2084657798067859</v>
      </c>
      <c r="O61" s="222">
        <v>16.823570034595896</v>
      </c>
    </row>
    <row r="62" spans="1:15" ht="13" x14ac:dyDescent="0.3">
      <c r="A62" s="223"/>
      <c r="B62" s="224" t="s">
        <v>25</v>
      </c>
      <c r="C62" s="225">
        <v>1.2784432126209813</v>
      </c>
      <c r="D62" s="212">
        <v>1.0096839770578891</v>
      </c>
      <c r="E62" s="212">
        <v>0.89019246081473036</v>
      </c>
      <c r="F62" s="212">
        <v>0.96134598505013891</v>
      </c>
      <c r="G62" s="212">
        <v>1.1485106901041484</v>
      </c>
      <c r="H62" s="212">
        <v>1.3468898093039559</v>
      </c>
      <c r="I62" s="212">
        <v>1.3573308155776298</v>
      </c>
      <c r="J62" s="212">
        <v>1.3820798674855981</v>
      </c>
      <c r="K62" s="212">
        <v>1.2328121481656651</v>
      </c>
      <c r="L62" s="212">
        <v>1.0800640934211738</v>
      </c>
      <c r="M62" s="212">
        <v>0.90450050644902458</v>
      </c>
      <c r="N62" s="212">
        <v>0.97449391887624703</v>
      </c>
      <c r="O62" s="226">
        <v>13.566347484927183</v>
      </c>
    </row>
    <row r="63" spans="1:15" ht="13" x14ac:dyDescent="0.3">
      <c r="A63" s="223"/>
      <c r="B63" s="224" t="s">
        <v>26</v>
      </c>
      <c r="C63" s="225">
        <v>0.10690903835107017</v>
      </c>
      <c r="D63" s="212">
        <v>8.4434210264562673E-2</v>
      </c>
      <c r="E63" s="212">
        <v>7.4441804683655022E-2</v>
      </c>
      <c r="F63" s="212">
        <v>8.0391974997205212E-2</v>
      </c>
      <c r="G63" s="212">
        <v>9.6043509952413314E-2</v>
      </c>
      <c r="H63" s="212">
        <v>0.11263284348964833</v>
      </c>
      <c r="I63" s="212">
        <v>0.11350596630739754</v>
      </c>
      <c r="J63" s="212">
        <v>0.11557559076428457</v>
      </c>
      <c r="K63" s="212">
        <v>0.10309316825868471</v>
      </c>
      <c r="L63" s="212">
        <v>9.0319704813835153E-2</v>
      </c>
      <c r="M63" s="212">
        <v>7.5638306322792837E-2</v>
      </c>
      <c r="N63" s="212">
        <v>8.1491462989926447E-2</v>
      </c>
      <c r="O63" s="226">
        <v>1.1344775811954759</v>
      </c>
    </row>
    <row r="64" spans="1:15" ht="13" x14ac:dyDescent="0.3">
      <c r="A64" s="223"/>
      <c r="B64" s="224" t="s">
        <v>27</v>
      </c>
      <c r="C64" s="225">
        <v>1.3853522509720515</v>
      </c>
      <c r="D64" s="212">
        <v>1.0941181873224519</v>
      </c>
      <c r="E64" s="212">
        <v>0.96463426549838538</v>
      </c>
      <c r="F64" s="212">
        <v>1.0417379600473442</v>
      </c>
      <c r="G64" s="212">
        <v>1.2445542000565617</v>
      </c>
      <c r="H64" s="212">
        <v>1.4595226527936043</v>
      </c>
      <c r="I64" s="212">
        <v>1.4708367818850274</v>
      </c>
      <c r="J64" s="212">
        <v>1.4976554582498827</v>
      </c>
      <c r="K64" s="212">
        <v>1.3359053164243497</v>
      </c>
      <c r="L64" s="212">
        <v>1.1703837982350089</v>
      </c>
      <c r="M64" s="212">
        <v>0.98013881277181736</v>
      </c>
      <c r="N64" s="212">
        <v>1.0559853818661735</v>
      </c>
      <c r="O64" s="226">
        <v>14.700825066122661</v>
      </c>
    </row>
    <row r="65" spans="1:15" x14ac:dyDescent="0.25">
      <c r="A65" s="223"/>
      <c r="B65" s="224" t="s">
        <v>50</v>
      </c>
      <c r="C65" s="227">
        <v>0.3069487985064927</v>
      </c>
      <c r="D65" s="83">
        <v>0.24242084479747505</v>
      </c>
      <c r="E65" s="83">
        <v>0.21373143804051611</v>
      </c>
      <c r="F65" s="83">
        <v>0.23081509772750783</v>
      </c>
      <c r="G65" s="83">
        <v>0.27575255038242086</v>
      </c>
      <c r="H65" s="83">
        <v>0.32338253635756631</v>
      </c>
      <c r="I65" s="83">
        <v>0.32588937772467919</v>
      </c>
      <c r="J65" s="83">
        <v>0.33183152022450241</v>
      </c>
      <c r="K65" s="83">
        <v>0.29599297327244367</v>
      </c>
      <c r="L65" s="83">
        <v>0.25931881253134731</v>
      </c>
      <c r="M65" s="83">
        <v>0.2171667391732264</v>
      </c>
      <c r="N65" s="83">
        <v>0.23397186093053893</v>
      </c>
      <c r="O65" s="228">
        <v>3.2572225496687168</v>
      </c>
    </row>
    <row r="66" spans="1:15" x14ac:dyDescent="0.25">
      <c r="A66" s="223"/>
      <c r="B66" s="224" t="s">
        <v>89</v>
      </c>
      <c r="C66" s="227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228">
        <v>0</v>
      </c>
    </row>
    <row r="67" spans="1:15" x14ac:dyDescent="0.25">
      <c r="A67" s="223"/>
      <c r="B67" s="224" t="s">
        <v>91</v>
      </c>
      <c r="C67" s="227">
        <v>0</v>
      </c>
      <c r="D67" s="83">
        <v>0</v>
      </c>
      <c r="E67" s="83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228">
        <v>0</v>
      </c>
    </row>
    <row r="68" spans="1:15" x14ac:dyDescent="0.25">
      <c r="A68" s="213" t="s">
        <v>9</v>
      </c>
      <c r="B68" s="213" t="s">
        <v>71</v>
      </c>
      <c r="C68" s="220">
        <v>3.5966243446630533E-2</v>
      </c>
      <c r="D68" s="221">
        <v>2.5895695281573983E-2</v>
      </c>
      <c r="E68" s="221">
        <v>2.3497945718465283E-2</v>
      </c>
      <c r="F68" s="221">
        <v>2.0620646242734839E-2</v>
      </c>
      <c r="G68" s="221">
        <v>2.3977495631087024E-2</v>
      </c>
      <c r="H68" s="221">
        <v>2.8293444844682686E-2</v>
      </c>
      <c r="I68" s="221">
        <v>2.8772994757304427E-2</v>
      </c>
      <c r="J68" s="221">
        <v>2.6854795106817465E-2</v>
      </c>
      <c r="K68" s="221">
        <v>2.6375245194195724E-2</v>
      </c>
      <c r="L68" s="221">
        <v>2.4457045543708762E-2</v>
      </c>
      <c r="M68" s="221">
        <v>1.9181996504869618E-2</v>
      </c>
      <c r="N68" s="221">
        <v>2.4457045543708762E-2</v>
      </c>
      <c r="O68" s="222">
        <v>0.30835059381577912</v>
      </c>
    </row>
    <row r="69" spans="1:15" ht="13" x14ac:dyDescent="0.3">
      <c r="A69" s="223"/>
      <c r="B69" s="224" t="s">
        <v>25</v>
      </c>
      <c r="C69" s="225">
        <v>2.9002795204650208E-2</v>
      </c>
      <c r="D69" s="212">
        <v>2.0882012547348148E-2</v>
      </c>
      <c r="E69" s="212">
        <v>1.8948492867038137E-2</v>
      </c>
      <c r="F69" s="212">
        <v>1.6628269250666121E-2</v>
      </c>
      <c r="G69" s="212">
        <v>1.9335196803100141E-2</v>
      </c>
      <c r="H69" s="212">
        <v>2.2815532227658163E-2</v>
      </c>
      <c r="I69" s="212">
        <v>2.3202236163720167E-2</v>
      </c>
      <c r="J69" s="212">
        <v>2.1655420419472157E-2</v>
      </c>
      <c r="K69" s="212">
        <v>2.1268716483410152E-2</v>
      </c>
      <c r="L69" s="212">
        <v>1.9721900739162142E-2</v>
      </c>
      <c r="M69" s="212">
        <v>1.5468157442480111E-2</v>
      </c>
      <c r="N69" s="212">
        <v>1.9721900739162142E-2</v>
      </c>
      <c r="O69" s="226">
        <v>0.24865063088786779</v>
      </c>
    </row>
    <row r="70" spans="1:15" ht="13" x14ac:dyDescent="0.3">
      <c r="A70" s="223"/>
      <c r="B70" s="224" t="s">
        <v>26</v>
      </c>
      <c r="C70" s="225">
        <v>2.4253411604144774E-3</v>
      </c>
      <c r="D70" s="212">
        <v>1.7462456354984241E-3</v>
      </c>
      <c r="E70" s="212">
        <v>1.5845562248041254E-3</v>
      </c>
      <c r="F70" s="212">
        <v>1.390528931970967E-3</v>
      </c>
      <c r="G70" s="212">
        <v>1.6168941069429851E-3</v>
      </c>
      <c r="H70" s="212">
        <v>1.9079350461927223E-3</v>
      </c>
      <c r="I70" s="212">
        <v>1.940272928331582E-3</v>
      </c>
      <c r="J70" s="212">
        <v>1.8109213997761432E-3</v>
      </c>
      <c r="K70" s="212">
        <v>1.7785835176372833E-3</v>
      </c>
      <c r="L70" s="212">
        <v>1.6492319890818446E-3</v>
      </c>
      <c r="M70" s="212">
        <v>1.2935152855543882E-3</v>
      </c>
      <c r="N70" s="212">
        <v>1.6492319890818446E-3</v>
      </c>
      <c r="O70" s="226">
        <v>2.0793258215286787E-2</v>
      </c>
    </row>
    <row r="71" spans="1:15" ht="13" x14ac:dyDescent="0.3">
      <c r="A71" s="223"/>
      <c r="B71" s="224" t="s">
        <v>27</v>
      </c>
      <c r="C71" s="225">
        <v>3.1428136365064682E-2</v>
      </c>
      <c r="D71" s="212">
        <v>2.2628258182846573E-2</v>
      </c>
      <c r="E71" s="212">
        <v>2.0533049091842261E-2</v>
      </c>
      <c r="F71" s="212">
        <v>1.8018798182637089E-2</v>
      </c>
      <c r="G71" s="212">
        <v>2.0952090910043127E-2</v>
      </c>
      <c r="H71" s="212">
        <v>2.4723467273850885E-2</v>
      </c>
      <c r="I71" s="212">
        <v>2.5142509092051749E-2</v>
      </c>
      <c r="J71" s="212">
        <v>2.3466341819248299E-2</v>
      </c>
      <c r="K71" s="212">
        <v>2.3047300001047436E-2</v>
      </c>
      <c r="L71" s="212">
        <v>2.1371132728243987E-2</v>
      </c>
      <c r="M71" s="212">
        <v>1.6761672728034499E-2</v>
      </c>
      <c r="N71" s="212">
        <v>2.1371132728243987E-2</v>
      </c>
      <c r="O71" s="226">
        <v>0.26944388910315453</v>
      </c>
    </row>
    <row r="72" spans="1:15" x14ac:dyDescent="0.25">
      <c r="A72" s="223"/>
      <c r="B72" s="224" t="s">
        <v>50</v>
      </c>
      <c r="C72" s="227">
        <v>6.9634482419803252E-3</v>
      </c>
      <c r="D72" s="83">
        <v>5.013682734225834E-3</v>
      </c>
      <c r="E72" s="83">
        <v>4.5494528514271456E-3</v>
      </c>
      <c r="F72" s="83">
        <v>3.9923769920687194E-3</v>
      </c>
      <c r="G72" s="83">
        <v>4.6422988279868835E-3</v>
      </c>
      <c r="H72" s="83">
        <v>5.4779126170245223E-3</v>
      </c>
      <c r="I72" s="83">
        <v>5.5707585935842602E-3</v>
      </c>
      <c r="J72" s="83">
        <v>5.1993746873453097E-3</v>
      </c>
      <c r="K72" s="83">
        <v>5.1065287107855718E-3</v>
      </c>
      <c r="L72" s="83">
        <v>4.7351448045466213E-3</v>
      </c>
      <c r="M72" s="83">
        <v>3.7138390623895068E-3</v>
      </c>
      <c r="N72" s="83">
        <v>4.7351448045466213E-3</v>
      </c>
      <c r="O72" s="228">
        <v>5.9699962927911326E-2</v>
      </c>
    </row>
    <row r="73" spans="1:15" x14ac:dyDescent="0.25">
      <c r="A73" s="223"/>
      <c r="B73" s="224" t="s">
        <v>89</v>
      </c>
      <c r="C73" s="227">
        <v>0</v>
      </c>
      <c r="D73" s="83">
        <v>0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228">
        <v>0</v>
      </c>
    </row>
    <row r="74" spans="1:15" x14ac:dyDescent="0.25">
      <c r="A74" s="223"/>
      <c r="B74" s="224" t="s">
        <v>91</v>
      </c>
      <c r="C74" s="227">
        <v>0</v>
      </c>
      <c r="D74" s="83">
        <v>0</v>
      </c>
      <c r="E74" s="83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228">
        <v>0</v>
      </c>
    </row>
    <row r="75" spans="1:15" x14ac:dyDescent="0.25">
      <c r="A75" s="213" t="s">
        <v>55</v>
      </c>
      <c r="B75" s="213" t="s">
        <v>71</v>
      </c>
      <c r="C75" s="220">
        <v>6.9534737330152363E-2</v>
      </c>
      <c r="D75" s="221">
        <v>4.7954991262174049E-2</v>
      </c>
      <c r="E75" s="221">
        <v>4.4118591961200118E-2</v>
      </c>
      <c r="F75" s="221">
        <v>4.8434541174795787E-2</v>
      </c>
      <c r="G75" s="221">
        <v>5.6586889689365372E-2</v>
      </c>
      <c r="H75" s="221">
        <v>8.2962134883561092E-2</v>
      </c>
      <c r="I75" s="221">
        <v>7.8646185669965438E-2</v>
      </c>
      <c r="J75" s="221">
        <v>8.1523485145695879E-2</v>
      </c>
      <c r="K75" s="221">
        <v>7.4809786368991507E-2</v>
      </c>
      <c r="L75" s="221">
        <v>6.6657437854421922E-2</v>
      </c>
      <c r="M75" s="221">
        <v>4.3159492135956642E-2</v>
      </c>
      <c r="N75" s="221">
        <v>5.2750490388391448E-2</v>
      </c>
      <c r="O75" s="222">
        <v>0.74713876386467148</v>
      </c>
    </row>
    <row r="76" spans="1:15" x14ac:dyDescent="0.25">
      <c r="A76" s="223"/>
      <c r="B76" s="224" t="s">
        <v>25</v>
      </c>
      <c r="C76" s="227">
        <v>5.6072070728990397E-2</v>
      </c>
      <c r="D76" s="83">
        <v>3.8670393606200282E-2</v>
      </c>
      <c r="E76" s="83">
        <v>3.5576762117704254E-2</v>
      </c>
      <c r="F76" s="83">
        <v>3.9057097542262283E-2</v>
      </c>
      <c r="G76" s="83">
        <v>4.5631064455316325E-2</v>
      </c>
      <c r="H76" s="83">
        <v>6.6899780938726477E-2</v>
      </c>
      <c r="I76" s="83">
        <v>6.3419445514168463E-2</v>
      </c>
      <c r="J76" s="83">
        <v>6.5739669130540468E-2</v>
      </c>
      <c r="K76" s="83">
        <v>6.0325814025672428E-2</v>
      </c>
      <c r="L76" s="83">
        <v>5.3751847112618385E-2</v>
      </c>
      <c r="M76" s="83">
        <v>3.4803354245580252E-2</v>
      </c>
      <c r="N76" s="83">
        <v>4.2537432966820304E-2</v>
      </c>
      <c r="O76" s="228">
        <v>0.60248473238460032</v>
      </c>
    </row>
    <row r="77" spans="1:15" x14ac:dyDescent="0.25">
      <c r="A77" s="223"/>
      <c r="B77" s="224" t="s">
        <v>26</v>
      </c>
      <c r="C77" s="227">
        <v>4.6889929101346563E-3</v>
      </c>
      <c r="D77" s="83">
        <v>3.2337882138859702E-3</v>
      </c>
      <c r="E77" s="83">
        <v>2.9750851567750922E-3</v>
      </c>
      <c r="F77" s="83">
        <v>3.2661260960248299E-3</v>
      </c>
      <c r="G77" s="83">
        <v>3.8158700923854446E-3</v>
      </c>
      <c r="H77" s="83">
        <v>5.5944536100227277E-3</v>
      </c>
      <c r="I77" s="83">
        <v>5.3034126707729905E-3</v>
      </c>
      <c r="J77" s="83">
        <v>5.4974399636061487E-3</v>
      </c>
      <c r="K77" s="83">
        <v>5.044709613662113E-3</v>
      </c>
      <c r="L77" s="83">
        <v>4.4949656173014982E-3</v>
      </c>
      <c r="M77" s="83">
        <v>2.9104093924973732E-3</v>
      </c>
      <c r="N77" s="83">
        <v>3.5571670352745667E-3</v>
      </c>
      <c r="O77" s="228">
        <v>5.038242037234341E-2</v>
      </c>
    </row>
    <row r="78" spans="1:15" x14ac:dyDescent="0.25">
      <c r="A78" s="223"/>
      <c r="B78" s="224" t="s">
        <v>27</v>
      </c>
      <c r="C78" s="227">
        <v>6.0761063639125056E-2</v>
      </c>
      <c r="D78" s="83">
        <v>4.1904181820086255E-2</v>
      </c>
      <c r="E78" s="83">
        <v>3.8551847274479349E-2</v>
      </c>
      <c r="F78" s="83">
        <v>4.2323223638287111E-2</v>
      </c>
      <c r="G78" s="83">
        <v>4.9446934547701771E-2</v>
      </c>
      <c r="H78" s="83">
        <v>7.2494234548749203E-2</v>
      </c>
      <c r="I78" s="83">
        <v>6.8722858184941449E-2</v>
      </c>
      <c r="J78" s="83">
        <v>7.1237109094146614E-2</v>
      </c>
      <c r="K78" s="83">
        <v>6.5370523639334543E-2</v>
      </c>
      <c r="L78" s="83">
        <v>5.8246812729919883E-2</v>
      </c>
      <c r="M78" s="83">
        <v>3.7713763638077623E-2</v>
      </c>
      <c r="N78" s="83">
        <v>4.6094600002094872E-2</v>
      </c>
      <c r="O78" s="228">
        <v>0.65286715275694363</v>
      </c>
    </row>
    <row r="79" spans="1:15" x14ac:dyDescent="0.25">
      <c r="A79" s="223"/>
      <c r="B79" s="224" t="s">
        <v>50</v>
      </c>
      <c r="C79" s="227">
        <v>1.3462666601161962E-2</v>
      </c>
      <c r="D79" s="83">
        <v>9.284597655973767E-3</v>
      </c>
      <c r="E79" s="83">
        <v>8.541829843495866E-3</v>
      </c>
      <c r="F79" s="83">
        <v>9.3774436325335039E-3</v>
      </c>
      <c r="G79" s="83">
        <v>1.0955825234049045E-2</v>
      </c>
      <c r="H79" s="83">
        <v>1.6062353944834615E-2</v>
      </c>
      <c r="I79" s="83">
        <v>1.5226740155796977E-2</v>
      </c>
      <c r="J79" s="83">
        <v>1.5783816015155404E-2</v>
      </c>
      <c r="K79" s="83">
        <v>1.4483972343319076E-2</v>
      </c>
      <c r="L79" s="83">
        <v>1.2905590741803535E-2</v>
      </c>
      <c r="M79" s="83">
        <v>8.3561378903763903E-3</v>
      </c>
      <c r="N79" s="83">
        <v>1.0213057421571144E-2</v>
      </c>
      <c r="O79" s="228">
        <v>0.14465403148007128</v>
      </c>
    </row>
    <row r="80" spans="1:15" x14ac:dyDescent="0.25">
      <c r="A80" s="223"/>
      <c r="B80" s="224" t="s">
        <v>89</v>
      </c>
      <c r="C80" s="227">
        <v>0</v>
      </c>
      <c r="D80" s="83">
        <v>0</v>
      </c>
      <c r="E80" s="83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228">
        <v>0</v>
      </c>
    </row>
    <row r="81" spans="1:15" x14ac:dyDescent="0.25">
      <c r="A81" s="223"/>
      <c r="B81" s="224" t="s">
        <v>91</v>
      </c>
      <c r="C81" s="227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228">
        <v>0</v>
      </c>
    </row>
    <row r="82" spans="1:15" x14ac:dyDescent="0.25">
      <c r="A82" s="213" t="s">
        <v>56</v>
      </c>
      <c r="B82" s="213" t="s">
        <v>71</v>
      </c>
      <c r="C82" s="220">
        <v>4.3159492135956641E-3</v>
      </c>
      <c r="D82" s="221">
        <v>3.8363993009739236E-3</v>
      </c>
      <c r="E82" s="221">
        <v>4.7954991262174045E-3</v>
      </c>
      <c r="F82" s="221">
        <v>3.3568493883521832E-3</v>
      </c>
      <c r="G82" s="221">
        <v>4.7954991262174045E-3</v>
      </c>
      <c r="H82" s="221">
        <v>4.7954991262174045E-3</v>
      </c>
      <c r="I82" s="221">
        <v>5.7545989514608854E-3</v>
      </c>
      <c r="J82" s="221">
        <v>5.7545989514608854E-3</v>
      </c>
      <c r="K82" s="221">
        <v>5.275049038839145E-3</v>
      </c>
      <c r="L82" s="221">
        <v>4.7954991262174045E-3</v>
      </c>
      <c r="M82" s="221">
        <v>4.7954991262174045E-3</v>
      </c>
      <c r="N82" s="221">
        <v>4.7954991262174045E-3</v>
      </c>
      <c r="O82" s="222">
        <v>5.7066439601987123E-2</v>
      </c>
    </row>
    <row r="83" spans="1:15" x14ac:dyDescent="0.25">
      <c r="A83" s="223"/>
      <c r="B83" s="224" t="s">
        <v>25</v>
      </c>
      <c r="C83" s="227">
        <v>3.4803354245580252E-3</v>
      </c>
      <c r="D83" s="83">
        <v>3.0936314884960222E-3</v>
      </c>
      <c r="E83" s="83">
        <v>3.8670393606200278E-3</v>
      </c>
      <c r="F83" s="83">
        <v>2.7069275524340196E-3</v>
      </c>
      <c r="G83" s="83">
        <v>3.8670393606200278E-3</v>
      </c>
      <c r="H83" s="83">
        <v>3.8670393606200278E-3</v>
      </c>
      <c r="I83" s="83">
        <v>4.640447232744033E-3</v>
      </c>
      <c r="J83" s="83">
        <v>4.640447232744033E-3</v>
      </c>
      <c r="K83" s="83">
        <v>4.2537432966820304E-3</v>
      </c>
      <c r="L83" s="83">
        <v>3.8670393606200278E-3</v>
      </c>
      <c r="M83" s="83">
        <v>3.8670393606200278E-3</v>
      </c>
      <c r="N83" s="83">
        <v>3.8670393606200278E-3</v>
      </c>
      <c r="O83" s="228">
        <v>4.6017768391378333E-2</v>
      </c>
    </row>
    <row r="84" spans="1:15" x14ac:dyDescent="0.25">
      <c r="A84" s="223"/>
      <c r="B84" s="224" t="s">
        <v>26</v>
      </c>
      <c r="C84" s="227">
        <v>2.9104093924973729E-4</v>
      </c>
      <c r="D84" s="83">
        <v>2.587030571108776E-4</v>
      </c>
      <c r="E84" s="83">
        <v>3.2337882138859704E-4</v>
      </c>
      <c r="F84" s="83">
        <v>2.263651749720179E-4</v>
      </c>
      <c r="G84" s="83">
        <v>3.2337882138859704E-4</v>
      </c>
      <c r="H84" s="83">
        <v>3.2337882138859704E-4</v>
      </c>
      <c r="I84" s="83">
        <v>3.8805458566631637E-4</v>
      </c>
      <c r="J84" s="83">
        <v>3.8805458566631637E-4</v>
      </c>
      <c r="K84" s="83">
        <v>3.5571670352745668E-4</v>
      </c>
      <c r="L84" s="83">
        <v>3.2337882138859704E-4</v>
      </c>
      <c r="M84" s="83">
        <v>3.2337882138859704E-4</v>
      </c>
      <c r="N84" s="83">
        <v>3.2337882138859704E-4</v>
      </c>
      <c r="O84" s="228">
        <v>3.8482079745243039E-3</v>
      </c>
    </row>
    <row r="85" spans="1:15" x14ac:dyDescent="0.25">
      <c r="A85" s="223"/>
      <c r="B85" s="224" t="s">
        <v>27</v>
      </c>
      <c r="C85" s="227">
        <v>3.7713763638077625E-3</v>
      </c>
      <c r="D85" s="83">
        <v>3.3523345456068997E-3</v>
      </c>
      <c r="E85" s="83">
        <v>4.1904181820086248E-3</v>
      </c>
      <c r="F85" s="83">
        <v>2.9332927274060374E-3</v>
      </c>
      <c r="G85" s="83">
        <v>4.1904181820086248E-3</v>
      </c>
      <c r="H85" s="83">
        <v>4.1904181820086248E-3</v>
      </c>
      <c r="I85" s="83">
        <v>5.0285018184103494E-3</v>
      </c>
      <c r="J85" s="83">
        <v>5.0285018184103494E-3</v>
      </c>
      <c r="K85" s="83">
        <v>4.6094600002094871E-3</v>
      </c>
      <c r="L85" s="83">
        <v>4.1904181820086248E-3</v>
      </c>
      <c r="M85" s="83">
        <v>4.1904181820086248E-3</v>
      </c>
      <c r="N85" s="83">
        <v>4.1904181820086248E-3</v>
      </c>
      <c r="O85" s="228">
        <v>4.9865976365902634E-2</v>
      </c>
    </row>
    <row r="86" spans="1:15" x14ac:dyDescent="0.25">
      <c r="A86" s="223"/>
      <c r="B86" s="224" t="s">
        <v>50</v>
      </c>
      <c r="C86" s="227">
        <v>8.3561378903763896E-4</v>
      </c>
      <c r="D86" s="83">
        <v>7.4276781247790134E-4</v>
      </c>
      <c r="E86" s="83">
        <v>9.284597655973767E-4</v>
      </c>
      <c r="F86" s="83">
        <v>6.4992183591816371E-4</v>
      </c>
      <c r="G86" s="83">
        <v>9.284597655973767E-4</v>
      </c>
      <c r="H86" s="83">
        <v>9.284597655973767E-4</v>
      </c>
      <c r="I86" s="83">
        <v>1.1141517187168519E-3</v>
      </c>
      <c r="J86" s="83">
        <v>1.1141517187168519E-3</v>
      </c>
      <c r="K86" s="83">
        <v>1.0213057421571143E-3</v>
      </c>
      <c r="L86" s="83">
        <v>9.284597655973767E-4</v>
      </c>
      <c r="M86" s="83">
        <v>9.284597655973767E-4</v>
      </c>
      <c r="N86" s="83">
        <v>9.284597655973767E-4</v>
      </c>
      <c r="O86" s="228">
        <v>1.1048671210608782E-2</v>
      </c>
    </row>
    <row r="87" spans="1:15" x14ac:dyDescent="0.25">
      <c r="A87" s="223"/>
      <c r="B87" s="224" t="s">
        <v>89</v>
      </c>
      <c r="C87" s="227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228">
        <v>0</v>
      </c>
    </row>
    <row r="88" spans="1:15" x14ac:dyDescent="0.25">
      <c r="A88" s="223"/>
      <c r="B88" s="224" t="s">
        <v>91</v>
      </c>
      <c r="C88" s="227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228">
        <v>0</v>
      </c>
    </row>
    <row r="89" spans="1:15" x14ac:dyDescent="0.25">
      <c r="A89" s="213" t="s">
        <v>57</v>
      </c>
      <c r="B89" s="213" t="s">
        <v>71</v>
      </c>
      <c r="C89" s="220">
        <v>1.2468297728165252E-2</v>
      </c>
      <c r="D89" s="221">
        <v>9.1114483398130677E-3</v>
      </c>
      <c r="E89" s="221">
        <v>8.6318984271913281E-3</v>
      </c>
      <c r="F89" s="221">
        <v>1.055009807767829E-2</v>
      </c>
      <c r="G89" s="221">
        <v>1.4866047291273953E-2</v>
      </c>
      <c r="H89" s="221">
        <v>1.7263796854382656E-2</v>
      </c>
      <c r="I89" s="221">
        <v>1.8222896679626135E-2</v>
      </c>
      <c r="J89" s="221">
        <v>1.9661546417491359E-2</v>
      </c>
      <c r="K89" s="221">
        <v>1.3906947466030474E-2</v>
      </c>
      <c r="L89" s="221">
        <v>1.2468297728165252E-2</v>
      </c>
      <c r="M89" s="221">
        <v>1.055009807767829E-2</v>
      </c>
      <c r="N89" s="221">
        <v>8.6318984271913281E-3</v>
      </c>
      <c r="O89" s="222">
        <v>0.1563332715146874</v>
      </c>
    </row>
    <row r="90" spans="1:15" x14ac:dyDescent="0.25">
      <c r="A90" s="223"/>
      <c r="B90" s="224" t="s">
        <v>25</v>
      </c>
      <c r="C90" s="227">
        <v>1.0054302337612073E-2</v>
      </c>
      <c r="D90" s="83">
        <v>7.3473747851780522E-3</v>
      </c>
      <c r="E90" s="83">
        <v>6.9606708491160504E-3</v>
      </c>
      <c r="F90" s="83">
        <v>8.5074865933640609E-3</v>
      </c>
      <c r="G90" s="83">
        <v>1.1987822017922086E-2</v>
      </c>
      <c r="H90" s="83">
        <v>1.3921341698232101E-2</v>
      </c>
      <c r="I90" s="83">
        <v>1.4694749570356104E-2</v>
      </c>
      <c r="J90" s="83">
        <v>1.5854861378542116E-2</v>
      </c>
      <c r="K90" s="83">
        <v>1.1214414145798081E-2</v>
      </c>
      <c r="L90" s="83">
        <v>1.0054302337612073E-2</v>
      </c>
      <c r="M90" s="83">
        <v>8.5074865933640609E-3</v>
      </c>
      <c r="N90" s="83">
        <v>6.9606708491160504E-3</v>
      </c>
      <c r="O90" s="228">
        <v>0.12606548315621291</v>
      </c>
    </row>
    <row r="91" spans="1:15" x14ac:dyDescent="0.25">
      <c r="A91" s="223"/>
      <c r="B91" s="224" t="s">
        <v>26</v>
      </c>
      <c r="C91" s="227">
        <v>8.4078493561035223E-4</v>
      </c>
      <c r="D91" s="83">
        <v>6.1441976063833438E-4</v>
      </c>
      <c r="E91" s="83">
        <v>5.8208187849947458E-4</v>
      </c>
      <c r="F91" s="83">
        <v>7.1143340705491335E-4</v>
      </c>
      <c r="G91" s="83">
        <v>1.0024743463046507E-3</v>
      </c>
      <c r="H91" s="83">
        <v>1.1641637569989492E-3</v>
      </c>
      <c r="I91" s="83">
        <v>1.2288395212766688E-3</v>
      </c>
      <c r="J91" s="83">
        <v>1.3258531676932476E-3</v>
      </c>
      <c r="K91" s="83">
        <v>9.377985820269312E-4</v>
      </c>
      <c r="L91" s="83">
        <v>8.4078493561035223E-4</v>
      </c>
      <c r="M91" s="83">
        <v>7.1143340705491335E-4</v>
      </c>
      <c r="N91" s="83">
        <v>5.8208187849947458E-4</v>
      </c>
      <c r="O91" s="228">
        <v>1.0542149577268262E-2</v>
      </c>
    </row>
    <row r="92" spans="1:15" x14ac:dyDescent="0.25">
      <c r="A92" s="223"/>
      <c r="B92" s="224" t="s">
        <v>27</v>
      </c>
      <c r="C92" s="227">
        <v>1.0895087273222425E-2</v>
      </c>
      <c r="D92" s="83">
        <v>7.9617945458163863E-3</v>
      </c>
      <c r="E92" s="83">
        <v>7.5427527276155249E-3</v>
      </c>
      <c r="F92" s="83">
        <v>9.2189200004189741E-3</v>
      </c>
      <c r="G92" s="83">
        <v>1.2990296364226737E-2</v>
      </c>
      <c r="H92" s="83">
        <v>1.508550545523105E-2</v>
      </c>
      <c r="I92" s="83">
        <v>1.5923589091632773E-2</v>
      </c>
      <c r="J92" s="83">
        <v>1.7180714546235362E-2</v>
      </c>
      <c r="K92" s="83">
        <v>1.2152212727825013E-2</v>
      </c>
      <c r="L92" s="83">
        <v>1.0895087273222425E-2</v>
      </c>
      <c r="M92" s="83">
        <v>9.2189200004189741E-3</v>
      </c>
      <c r="N92" s="83">
        <v>7.5427527276155249E-3</v>
      </c>
      <c r="O92" s="228">
        <v>0.1366076327334812</v>
      </c>
    </row>
    <row r="93" spans="1:15" x14ac:dyDescent="0.25">
      <c r="A93" s="223"/>
      <c r="B93" s="224" t="s">
        <v>50</v>
      </c>
      <c r="C93" s="227">
        <v>2.4139953905531791E-3</v>
      </c>
      <c r="D93" s="83">
        <v>1.7640735546350158E-3</v>
      </c>
      <c r="E93" s="83">
        <v>1.6712275780752779E-3</v>
      </c>
      <c r="F93" s="83">
        <v>2.0426114843142286E-3</v>
      </c>
      <c r="G93" s="83">
        <v>2.8782252733518675E-3</v>
      </c>
      <c r="H93" s="83">
        <v>3.3424551561505558E-3</v>
      </c>
      <c r="I93" s="83">
        <v>3.5281471092700315E-3</v>
      </c>
      <c r="J93" s="83">
        <v>3.8066850389492442E-3</v>
      </c>
      <c r="K93" s="83">
        <v>2.6925333202323922E-3</v>
      </c>
      <c r="L93" s="83">
        <v>2.4139953905531791E-3</v>
      </c>
      <c r="M93" s="83">
        <v>2.0426114843142286E-3</v>
      </c>
      <c r="N93" s="83">
        <v>1.6712275780752779E-3</v>
      </c>
      <c r="O93" s="228">
        <v>3.026778835847448E-2</v>
      </c>
    </row>
    <row r="94" spans="1:15" x14ac:dyDescent="0.25">
      <c r="A94" s="223"/>
      <c r="B94" s="224" t="s">
        <v>89</v>
      </c>
      <c r="C94" s="227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228">
        <v>0</v>
      </c>
    </row>
    <row r="95" spans="1:15" x14ac:dyDescent="0.25">
      <c r="A95" s="223"/>
      <c r="B95" s="224" t="s">
        <v>91</v>
      </c>
      <c r="C95" s="227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228">
        <v>0</v>
      </c>
    </row>
    <row r="96" spans="1:15" x14ac:dyDescent="0.25">
      <c r="A96" s="213" t="s">
        <v>58</v>
      </c>
      <c r="B96" s="213" t="s">
        <v>71</v>
      </c>
      <c r="C96" s="220">
        <v>1.6304697029139177E-2</v>
      </c>
      <c r="D96" s="221">
        <v>1.5345597203895694E-2</v>
      </c>
      <c r="E96" s="221">
        <v>1.5345597203895694E-2</v>
      </c>
      <c r="F96" s="221">
        <v>1.5825147116517436E-2</v>
      </c>
      <c r="G96" s="221">
        <v>1.9181996504869618E-2</v>
      </c>
      <c r="H96" s="221">
        <v>2.25388458932218E-2</v>
      </c>
      <c r="I96" s="221">
        <v>2.25388458932218E-2</v>
      </c>
      <c r="J96" s="221">
        <v>2.4457045543708762E-2</v>
      </c>
      <c r="K96" s="221">
        <v>2.0620646242734839E-2</v>
      </c>
      <c r="L96" s="221">
        <v>1.7743346767004398E-2</v>
      </c>
      <c r="M96" s="221">
        <v>1.6304697029139177E-2</v>
      </c>
      <c r="N96" s="221">
        <v>1.5345597203895694E-2</v>
      </c>
      <c r="O96" s="222">
        <v>0.22155205963124411</v>
      </c>
    </row>
    <row r="97" spans="1:15" x14ac:dyDescent="0.25">
      <c r="A97" s="223"/>
      <c r="B97" s="224" t="s">
        <v>25</v>
      </c>
      <c r="C97" s="227">
        <v>1.3147933826108096E-2</v>
      </c>
      <c r="D97" s="83">
        <v>1.2374525953984089E-2</v>
      </c>
      <c r="E97" s="83">
        <v>1.2374525953984089E-2</v>
      </c>
      <c r="F97" s="83">
        <v>1.2761229890046093E-2</v>
      </c>
      <c r="G97" s="83">
        <v>1.5468157442480111E-2</v>
      </c>
      <c r="H97" s="83">
        <v>1.8175084994914131E-2</v>
      </c>
      <c r="I97" s="83">
        <v>1.8175084994914131E-2</v>
      </c>
      <c r="J97" s="83">
        <v>1.9721900739162142E-2</v>
      </c>
      <c r="K97" s="83">
        <v>1.6628269250666121E-2</v>
      </c>
      <c r="L97" s="83">
        <v>1.4308045634294103E-2</v>
      </c>
      <c r="M97" s="83">
        <v>1.3147933826108096E-2</v>
      </c>
      <c r="N97" s="83">
        <v>1.2374525953984089E-2</v>
      </c>
      <c r="O97" s="228">
        <v>0.17865721846064531</v>
      </c>
    </row>
    <row r="98" spans="1:15" x14ac:dyDescent="0.25">
      <c r="A98" s="223"/>
      <c r="B98" s="224" t="s">
        <v>26</v>
      </c>
      <c r="C98" s="227">
        <v>1.0994879927212298E-3</v>
      </c>
      <c r="D98" s="83">
        <v>1.0348122284435104E-3</v>
      </c>
      <c r="E98" s="83">
        <v>1.0348122284435104E-3</v>
      </c>
      <c r="F98" s="83">
        <v>1.0671501105823701E-3</v>
      </c>
      <c r="G98" s="83">
        <v>1.2935152855543882E-3</v>
      </c>
      <c r="H98" s="83">
        <v>1.519880460526406E-3</v>
      </c>
      <c r="I98" s="83">
        <v>1.519880460526406E-3</v>
      </c>
      <c r="J98" s="83">
        <v>1.6492319890818446E-3</v>
      </c>
      <c r="K98" s="83">
        <v>1.390528931970967E-3</v>
      </c>
      <c r="L98" s="83">
        <v>1.1965016391378089E-3</v>
      </c>
      <c r="M98" s="83">
        <v>1.0994879927212298E-3</v>
      </c>
      <c r="N98" s="83">
        <v>1.0348122284435104E-3</v>
      </c>
      <c r="O98" s="228">
        <v>1.4940101548153183E-2</v>
      </c>
    </row>
    <row r="99" spans="1:15" x14ac:dyDescent="0.25">
      <c r="A99" s="223"/>
      <c r="B99" s="224" t="s">
        <v>27</v>
      </c>
      <c r="C99" s="227">
        <v>1.4247421818829325E-2</v>
      </c>
      <c r="D99" s="83">
        <v>1.3409338182427599E-2</v>
      </c>
      <c r="E99" s="83">
        <v>1.3409338182427599E-2</v>
      </c>
      <c r="F99" s="83">
        <v>1.3828380000628464E-2</v>
      </c>
      <c r="G99" s="83">
        <v>1.6761672728034499E-2</v>
      </c>
      <c r="H99" s="83">
        <v>1.9694965455440538E-2</v>
      </c>
      <c r="I99" s="83">
        <v>1.9694965455440538E-2</v>
      </c>
      <c r="J99" s="83">
        <v>2.1371132728243987E-2</v>
      </c>
      <c r="K99" s="83">
        <v>1.8018798182637089E-2</v>
      </c>
      <c r="L99" s="83">
        <v>1.5504547273431913E-2</v>
      </c>
      <c r="M99" s="83">
        <v>1.4247421818829325E-2</v>
      </c>
      <c r="N99" s="83">
        <v>1.3409338182427599E-2</v>
      </c>
      <c r="O99" s="228">
        <v>0.19359732000879845</v>
      </c>
    </row>
    <row r="100" spans="1:15" x14ac:dyDescent="0.25">
      <c r="A100" s="223"/>
      <c r="B100" s="224" t="s">
        <v>50</v>
      </c>
      <c r="C100" s="227">
        <v>3.1567632030310806E-3</v>
      </c>
      <c r="D100" s="83">
        <v>2.9710712499116053E-3</v>
      </c>
      <c r="E100" s="83">
        <v>2.9710712499116053E-3</v>
      </c>
      <c r="F100" s="83">
        <v>3.0639172264713432E-3</v>
      </c>
      <c r="G100" s="83">
        <v>3.7138390623895068E-3</v>
      </c>
      <c r="H100" s="83">
        <v>4.36376089830767E-3</v>
      </c>
      <c r="I100" s="83">
        <v>4.36376089830767E-3</v>
      </c>
      <c r="J100" s="83">
        <v>4.7351448045466213E-3</v>
      </c>
      <c r="K100" s="83">
        <v>3.9923769920687194E-3</v>
      </c>
      <c r="L100" s="83">
        <v>3.4353011327102937E-3</v>
      </c>
      <c r="M100" s="83">
        <v>3.1567632030310806E-3</v>
      </c>
      <c r="N100" s="83">
        <v>2.9710712499116053E-3</v>
      </c>
      <c r="O100" s="228">
        <v>4.2894841170598795E-2</v>
      </c>
    </row>
    <row r="101" spans="1:15" x14ac:dyDescent="0.25">
      <c r="A101" s="223"/>
      <c r="B101" s="224" t="s">
        <v>89</v>
      </c>
      <c r="C101" s="227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228">
        <v>0</v>
      </c>
    </row>
    <row r="102" spans="1:15" x14ac:dyDescent="0.25">
      <c r="A102" s="223"/>
      <c r="B102" s="224" t="s">
        <v>91</v>
      </c>
      <c r="C102" s="227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228">
        <v>0</v>
      </c>
    </row>
    <row r="103" spans="1:15" x14ac:dyDescent="0.25">
      <c r="A103" s="213" t="s">
        <v>82</v>
      </c>
      <c r="B103" s="213" t="s">
        <v>71</v>
      </c>
      <c r="C103" s="220">
        <v>0.10358278112629593</v>
      </c>
      <c r="D103" s="221">
        <v>7.0014287242774101E-2</v>
      </c>
      <c r="E103" s="221">
        <v>5.4189140126256669E-2</v>
      </c>
      <c r="F103" s="221">
        <v>3.6445793359252271E-2</v>
      </c>
      <c r="G103" s="221">
        <v>5.7545989514608854E-2</v>
      </c>
      <c r="H103" s="221">
        <v>7.0493837155395853E-2</v>
      </c>
      <c r="I103" s="221">
        <v>7.4330236456369769E-2</v>
      </c>
      <c r="J103" s="221">
        <v>7.5289336281613245E-2</v>
      </c>
      <c r="K103" s="221">
        <v>6.0423288990339295E-2</v>
      </c>
      <c r="L103" s="221">
        <v>5.3709590213634931E-2</v>
      </c>
      <c r="M103" s="221">
        <v>4.4598141873821863E-2</v>
      </c>
      <c r="N103" s="221">
        <v>6.1382388815582778E-2</v>
      </c>
      <c r="O103" s="222">
        <v>0.76200481115594565</v>
      </c>
    </row>
    <row r="104" spans="1:15" x14ac:dyDescent="0.25">
      <c r="A104" s="223"/>
      <c r="B104" s="224" t="s">
        <v>25</v>
      </c>
      <c r="C104" s="227">
        <v>8.3528050189392591E-2</v>
      </c>
      <c r="D104" s="83">
        <v>5.6458774665052405E-2</v>
      </c>
      <c r="E104" s="83">
        <v>4.3697544775006314E-2</v>
      </c>
      <c r="F104" s="83">
        <v>2.9389499140712209E-2</v>
      </c>
      <c r="G104" s="83">
        <v>4.6404472327440334E-2</v>
      </c>
      <c r="H104" s="83">
        <v>5.6845478601114413E-2</v>
      </c>
      <c r="I104" s="83">
        <v>5.9939110089610434E-2</v>
      </c>
      <c r="J104" s="83">
        <v>6.0712517961734429E-2</v>
      </c>
      <c r="K104" s="83">
        <v>4.8724695943812346E-2</v>
      </c>
      <c r="L104" s="83">
        <v>4.3310840838944313E-2</v>
      </c>
      <c r="M104" s="83">
        <v>3.5963466053766262E-2</v>
      </c>
      <c r="N104" s="83">
        <v>4.9498103815936355E-2</v>
      </c>
      <c r="O104" s="228">
        <v>0.61447255440252235</v>
      </c>
    </row>
    <row r="105" spans="1:15" x14ac:dyDescent="0.25">
      <c r="A105" s="223"/>
      <c r="B105" s="224" t="s">
        <v>26</v>
      </c>
      <c r="C105" s="227">
        <v>6.9849825419936963E-3</v>
      </c>
      <c r="D105" s="83">
        <v>4.721330792273516E-3</v>
      </c>
      <c r="E105" s="83">
        <v>3.6541806816911457E-3</v>
      </c>
      <c r="F105" s="83">
        <v>2.4576790425533375E-3</v>
      </c>
      <c r="G105" s="83">
        <v>3.880545856663164E-3</v>
      </c>
      <c r="H105" s="83">
        <v>4.7536686744123757E-3</v>
      </c>
      <c r="I105" s="83">
        <v>5.0123717315232533E-3</v>
      </c>
      <c r="J105" s="83">
        <v>5.0770474958009727E-3</v>
      </c>
      <c r="K105" s="83">
        <v>4.0745731494963222E-3</v>
      </c>
      <c r="L105" s="83">
        <v>3.6218427995522865E-3</v>
      </c>
      <c r="M105" s="83">
        <v>3.0074230389139519E-3</v>
      </c>
      <c r="N105" s="83">
        <v>4.1392489137740416E-3</v>
      </c>
      <c r="O105" s="228">
        <v>5.1384894718648058E-2</v>
      </c>
    </row>
    <row r="106" spans="1:15" x14ac:dyDescent="0.25">
      <c r="A106" s="223"/>
      <c r="B106" s="224" t="s">
        <v>27</v>
      </c>
      <c r="C106" s="227">
        <v>9.0513032731386292E-2</v>
      </c>
      <c r="D106" s="83">
        <v>6.1180105457325919E-2</v>
      </c>
      <c r="E106" s="83">
        <v>4.7351725456697462E-2</v>
      </c>
      <c r="F106" s="83">
        <v>3.1847178183265545E-2</v>
      </c>
      <c r="G106" s="83">
        <v>5.0285018184103497E-2</v>
      </c>
      <c r="H106" s="83">
        <v>6.1599147275526789E-2</v>
      </c>
      <c r="I106" s="83">
        <v>6.4951481821133694E-2</v>
      </c>
      <c r="J106" s="83">
        <v>6.5789565457535407E-2</v>
      </c>
      <c r="K106" s="83">
        <v>5.2799269093308669E-2</v>
      </c>
      <c r="L106" s="83">
        <v>4.6932683638496599E-2</v>
      </c>
      <c r="M106" s="83">
        <v>3.8970889092680212E-2</v>
      </c>
      <c r="N106" s="83">
        <v>5.3637352729710396E-2</v>
      </c>
      <c r="O106" s="228">
        <v>0.6658574491211704</v>
      </c>
    </row>
    <row r="107" spans="1:15" x14ac:dyDescent="0.25">
      <c r="A107" s="223"/>
      <c r="B107" s="224" t="s">
        <v>50</v>
      </c>
      <c r="C107" s="227">
        <v>2.0054730936903336E-2</v>
      </c>
      <c r="D107" s="83">
        <v>1.3555512577721699E-2</v>
      </c>
      <c r="E107" s="83">
        <v>1.0491595351250356E-2</v>
      </c>
      <c r="F107" s="83">
        <v>7.0562942185400631E-3</v>
      </c>
      <c r="G107" s="83">
        <v>1.114151718716852E-2</v>
      </c>
      <c r="H107" s="83">
        <v>1.3648358554281438E-2</v>
      </c>
      <c r="I107" s="83">
        <v>1.4391126366759339E-2</v>
      </c>
      <c r="J107" s="83">
        <v>1.4576818319878814E-2</v>
      </c>
      <c r="K107" s="83">
        <v>1.1698593046526946E-2</v>
      </c>
      <c r="L107" s="83">
        <v>1.0398749374690619E-2</v>
      </c>
      <c r="M107" s="83">
        <v>8.6346758200556029E-3</v>
      </c>
      <c r="N107" s="83">
        <v>1.1884284999646421E-2</v>
      </c>
      <c r="O107" s="228">
        <v>0.14753225675342316</v>
      </c>
    </row>
    <row r="108" spans="1:15" x14ac:dyDescent="0.25">
      <c r="A108" s="223"/>
      <c r="B108" s="224" t="s">
        <v>89</v>
      </c>
      <c r="C108" s="227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228">
        <v>0</v>
      </c>
    </row>
    <row r="109" spans="1:15" x14ac:dyDescent="0.25">
      <c r="A109" s="223"/>
      <c r="B109" s="224" t="s">
        <v>91</v>
      </c>
      <c r="C109" s="227">
        <v>0</v>
      </c>
      <c r="D109" s="83">
        <v>0</v>
      </c>
      <c r="E109" s="83">
        <v>0</v>
      </c>
      <c r="F109" s="83">
        <v>0</v>
      </c>
      <c r="G109" s="83">
        <v>0</v>
      </c>
      <c r="H109" s="83">
        <v>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228">
        <v>0</v>
      </c>
    </row>
    <row r="110" spans="1:15" x14ac:dyDescent="0.25">
      <c r="A110" s="213" t="s">
        <v>85</v>
      </c>
      <c r="B110" s="213" t="s">
        <v>71</v>
      </c>
      <c r="C110" s="220">
        <v>2.7813894932060948E-2</v>
      </c>
      <c r="D110" s="221">
        <v>1.7263796854382656E-2</v>
      </c>
      <c r="E110" s="221">
        <v>1.3906947466030474E-2</v>
      </c>
      <c r="F110" s="221">
        <v>1.2947847640786991E-2</v>
      </c>
      <c r="G110" s="221">
        <v>1.7263796854382656E-2</v>
      </c>
      <c r="H110" s="221">
        <v>2.5416145368952245E-2</v>
      </c>
      <c r="I110" s="221">
        <v>2.5416145368952245E-2</v>
      </c>
      <c r="J110" s="221">
        <v>2.5895695281573983E-2</v>
      </c>
      <c r="K110" s="221">
        <v>2.3018395805843542E-2</v>
      </c>
      <c r="L110" s="221">
        <v>1.9661546417491359E-2</v>
      </c>
      <c r="M110" s="221">
        <v>1.055009807767829E-2</v>
      </c>
      <c r="N110" s="221">
        <v>1.7743346767004398E-2</v>
      </c>
      <c r="O110" s="222">
        <v>0.23689765683513977</v>
      </c>
    </row>
    <row r="111" spans="1:15" x14ac:dyDescent="0.25">
      <c r="A111" s="223"/>
      <c r="B111" s="224" t="s">
        <v>25</v>
      </c>
      <c r="C111" s="227">
        <v>2.2428828291596162E-2</v>
      </c>
      <c r="D111" s="83">
        <v>1.3921341698232101E-2</v>
      </c>
      <c r="E111" s="83">
        <v>1.1214414145798081E-2</v>
      </c>
      <c r="F111" s="83">
        <v>1.0441006273674074E-2</v>
      </c>
      <c r="G111" s="83">
        <v>1.3921341698232101E-2</v>
      </c>
      <c r="H111" s="83">
        <v>2.049530861128615E-2</v>
      </c>
      <c r="I111" s="83">
        <v>2.049530861128615E-2</v>
      </c>
      <c r="J111" s="83">
        <v>2.0882012547348148E-2</v>
      </c>
      <c r="K111" s="83">
        <v>1.8561788930976132E-2</v>
      </c>
      <c r="L111" s="83">
        <v>1.5854861378542116E-2</v>
      </c>
      <c r="M111" s="83">
        <v>8.5074865933640609E-3</v>
      </c>
      <c r="N111" s="83">
        <v>1.4308045634294103E-2</v>
      </c>
      <c r="O111" s="228">
        <v>0.19103174441462936</v>
      </c>
    </row>
    <row r="112" spans="1:15" x14ac:dyDescent="0.25">
      <c r="A112" s="223"/>
      <c r="B112" s="224" t="s">
        <v>26</v>
      </c>
      <c r="C112" s="227">
        <v>1.8755971640538624E-3</v>
      </c>
      <c r="D112" s="83">
        <v>1.1641637569989492E-3</v>
      </c>
      <c r="E112" s="83">
        <v>9.377985820269312E-4</v>
      </c>
      <c r="F112" s="83">
        <v>8.7312281774921203E-4</v>
      </c>
      <c r="G112" s="83">
        <v>1.1641637569989492E-3</v>
      </c>
      <c r="H112" s="83">
        <v>1.7139077533595642E-3</v>
      </c>
      <c r="I112" s="83">
        <v>1.7139077533595642E-3</v>
      </c>
      <c r="J112" s="83">
        <v>1.7462456354984241E-3</v>
      </c>
      <c r="K112" s="83">
        <v>1.5522183426652655E-3</v>
      </c>
      <c r="L112" s="83">
        <v>1.3258531676932476E-3</v>
      </c>
      <c r="M112" s="83">
        <v>7.1143340705491335E-4</v>
      </c>
      <c r="N112" s="83">
        <v>1.1965016391378089E-3</v>
      </c>
      <c r="O112" s="228">
        <v>1.597491377659669E-2</v>
      </c>
    </row>
    <row r="113" spans="1:15" x14ac:dyDescent="0.25">
      <c r="A113" s="223"/>
      <c r="B113" s="224" t="s">
        <v>27</v>
      </c>
      <c r="C113" s="227">
        <v>2.4304425455650026E-2</v>
      </c>
      <c r="D113" s="83">
        <v>1.508550545523105E-2</v>
      </c>
      <c r="E113" s="83">
        <v>1.2152212727825013E-2</v>
      </c>
      <c r="F113" s="83">
        <v>1.1314129091423287E-2</v>
      </c>
      <c r="G113" s="83">
        <v>1.508550545523105E-2</v>
      </c>
      <c r="H113" s="83">
        <v>2.2209216364645713E-2</v>
      </c>
      <c r="I113" s="83">
        <v>2.2209216364645713E-2</v>
      </c>
      <c r="J113" s="83">
        <v>2.2628258182846573E-2</v>
      </c>
      <c r="K113" s="83">
        <v>2.0114007273641397E-2</v>
      </c>
      <c r="L113" s="83">
        <v>1.7180714546235362E-2</v>
      </c>
      <c r="M113" s="83">
        <v>9.2189200004189741E-3</v>
      </c>
      <c r="N113" s="83">
        <v>1.5504547273431913E-2</v>
      </c>
      <c r="O113" s="228">
        <v>0.2070066581912261</v>
      </c>
    </row>
    <row r="114" spans="1:15" x14ac:dyDescent="0.25">
      <c r="A114" s="223"/>
      <c r="B114" s="224" t="s">
        <v>50</v>
      </c>
      <c r="C114" s="227">
        <v>5.3850666404647845E-3</v>
      </c>
      <c r="D114" s="83">
        <v>3.3424551561505558E-3</v>
      </c>
      <c r="E114" s="83">
        <v>2.6925333202323922E-3</v>
      </c>
      <c r="F114" s="83">
        <v>2.506841367112917E-3</v>
      </c>
      <c r="G114" s="83">
        <v>3.3424551561505558E-3</v>
      </c>
      <c r="H114" s="83">
        <v>4.9208367576660961E-3</v>
      </c>
      <c r="I114" s="83">
        <v>4.9208367576660961E-3</v>
      </c>
      <c r="J114" s="83">
        <v>5.013682734225834E-3</v>
      </c>
      <c r="K114" s="83">
        <v>4.4566068748674078E-3</v>
      </c>
      <c r="L114" s="83">
        <v>3.8066850389492442E-3</v>
      </c>
      <c r="M114" s="83">
        <v>2.0426114843142286E-3</v>
      </c>
      <c r="N114" s="83">
        <v>3.4353011327102937E-3</v>
      </c>
      <c r="O114" s="228">
        <v>4.5865912420510406E-2</v>
      </c>
    </row>
    <row r="115" spans="1:15" x14ac:dyDescent="0.25">
      <c r="A115" s="223"/>
      <c r="B115" s="224" t="s">
        <v>89</v>
      </c>
      <c r="C115" s="227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228">
        <v>0</v>
      </c>
    </row>
    <row r="116" spans="1:15" x14ac:dyDescent="0.25">
      <c r="A116" s="223"/>
      <c r="B116" s="224" t="s">
        <v>91</v>
      </c>
      <c r="C116" s="227">
        <v>0</v>
      </c>
      <c r="D116" s="83">
        <v>0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228">
        <v>0</v>
      </c>
    </row>
    <row r="117" spans="1:15" x14ac:dyDescent="0.25">
      <c r="A117" s="213" t="s">
        <v>72</v>
      </c>
      <c r="B117" s="214"/>
      <c r="C117" s="220">
        <v>4.7844694782271038</v>
      </c>
      <c r="D117" s="221">
        <v>3.4925620136241351</v>
      </c>
      <c r="E117" s="221">
        <v>3.100769735012173</v>
      </c>
      <c r="F117" s="221">
        <v>3.3395855914978005</v>
      </c>
      <c r="G117" s="221">
        <v>4.0320556653235933</v>
      </c>
      <c r="H117" s="221">
        <v>4.9614233959845269</v>
      </c>
      <c r="I117" s="221">
        <v>5.0146534362855402</v>
      </c>
      <c r="J117" s="221">
        <v>5.0798722244020968</v>
      </c>
      <c r="K117" s="221">
        <v>4.572987966760917</v>
      </c>
      <c r="L117" s="221">
        <v>4.0354125147119451</v>
      </c>
      <c r="M117" s="221">
        <v>2.920458967866399</v>
      </c>
      <c r="N117" s="221">
        <v>3.5083871607406527</v>
      </c>
      <c r="O117" s="222">
        <v>48.842638150436883</v>
      </c>
    </row>
    <row r="118" spans="1:15" ht="13" x14ac:dyDescent="0.3">
      <c r="A118" s="213" t="s">
        <v>28</v>
      </c>
      <c r="B118" s="214"/>
      <c r="C118" s="229">
        <v>3.858145170090602</v>
      </c>
      <c r="D118" s="230">
        <v>2.8163647663395666</v>
      </c>
      <c r="E118" s="230">
        <v>2.5004276505769103</v>
      </c>
      <c r="F118" s="230">
        <v>2.6930062107357871</v>
      </c>
      <c r="G118" s="230">
        <v>3.2514066944093201</v>
      </c>
      <c r="H118" s="230">
        <v>4.000838922497481</v>
      </c>
      <c r="I118" s="230">
        <v>4.0437630594003631</v>
      </c>
      <c r="J118" s="230">
        <v>4.096354794704796</v>
      </c>
      <c r="K118" s="230">
        <v>3.6876087342872585</v>
      </c>
      <c r="L118" s="230">
        <v>3.2541136219617535</v>
      </c>
      <c r="M118" s="230">
        <v>2.3550269706175975</v>
      </c>
      <c r="N118" s="230">
        <v>2.8291259962296125</v>
      </c>
      <c r="O118" s="231">
        <v>39.386182591851046</v>
      </c>
    </row>
    <row r="119" spans="1:15" ht="13" x14ac:dyDescent="0.3">
      <c r="A119" s="213" t="s">
        <v>29</v>
      </c>
      <c r="B119" s="214"/>
      <c r="C119" s="229">
        <v>0.3226350500994033</v>
      </c>
      <c r="D119" s="230">
        <v>0.2355167956173152</v>
      </c>
      <c r="E119" s="230">
        <v>0.20909674590986685</v>
      </c>
      <c r="F119" s="230">
        <v>0.22520101121501893</v>
      </c>
      <c r="G119" s="230">
        <v>0.27189691302353231</v>
      </c>
      <c r="H119" s="230">
        <v>0.33456772860864248</v>
      </c>
      <c r="I119" s="230">
        <v>0.33815723352605587</v>
      </c>
      <c r="J119" s="230">
        <v>0.34255518549694075</v>
      </c>
      <c r="K119" s="230">
        <v>0.30837404407616603</v>
      </c>
      <c r="L119" s="230">
        <v>0.2721232781985044</v>
      </c>
      <c r="M119" s="230">
        <v>0.19693770222565557</v>
      </c>
      <c r="N119" s="230">
        <v>0.23658394572789757</v>
      </c>
      <c r="O119" s="231">
        <v>3.2936456337249993</v>
      </c>
    </row>
    <row r="120" spans="1:15" ht="13" x14ac:dyDescent="0.3">
      <c r="A120" s="213" t="s">
        <v>30</v>
      </c>
      <c r="B120" s="214"/>
      <c r="C120" s="229">
        <v>4.1807802201900053</v>
      </c>
      <c r="D120" s="230">
        <v>3.0518815619568813</v>
      </c>
      <c r="E120" s="230">
        <v>2.7095243964867763</v>
      </c>
      <c r="F120" s="230">
        <v>2.9182072219508064</v>
      </c>
      <c r="G120" s="230">
        <v>3.523303607432851</v>
      </c>
      <c r="H120" s="230">
        <v>4.3354066511061236</v>
      </c>
      <c r="I120" s="230">
        <v>4.3819202929264192</v>
      </c>
      <c r="J120" s="230">
        <v>4.4389099802017373</v>
      </c>
      <c r="K120" s="230">
        <v>3.995982778363425</v>
      </c>
      <c r="L120" s="230">
        <v>3.5262369001602578</v>
      </c>
      <c r="M120" s="230">
        <v>2.5519646728432526</v>
      </c>
      <c r="N120" s="230">
        <v>3.0657099419575102</v>
      </c>
      <c r="O120" s="231">
        <v>42.679828225576038</v>
      </c>
    </row>
    <row r="121" spans="1:15" x14ac:dyDescent="0.25">
      <c r="A121" s="213" t="s">
        <v>62</v>
      </c>
      <c r="B121" s="214"/>
      <c r="C121" s="220">
        <v>0.92632430813650268</v>
      </c>
      <c r="D121" s="221">
        <v>0.67619724728456954</v>
      </c>
      <c r="E121" s="221">
        <v>0.6003420844352636</v>
      </c>
      <c r="F121" s="221">
        <v>0.64657938076201305</v>
      </c>
      <c r="G121" s="221">
        <v>0.78064897091427421</v>
      </c>
      <c r="H121" s="221">
        <v>0.9605844734870459</v>
      </c>
      <c r="I121" s="221">
        <v>0.97089037688517676</v>
      </c>
      <c r="J121" s="221">
        <v>0.98351742969730105</v>
      </c>
      <c r="K121" s="221">
        <v>0.88537923247365824</v>
      </c>
      <c r="L121" s="221">
        <v>0.7812988927501926</v>
      </c>
      <c r="M121" s="221">
        <v>0.56543199724880255</v>
      </c>
      <c r="N121" s="221">
        <v>0.67926116451104079</v>
      </c>
      <c r="O121" s="222">
        <v>9.4564555585858407</v>
      </c>
    </row>
    <row r="122" spans="1:15" x14ac:dyDescent="0.25">
      <c r="A122" s="213" t="s">
        <v>90</v>
      </c>
      <c r="B122" s="214"/>
      <c r="C122" s="220">
        <v>0</v>
      </c>
      <c r="D122" s="221">
        <v>0</v>
      </c>
      <c r="E122" s="221">
        <v>0</v>
      </c>
      <c r="F122" s="221">
        <v>0</v>
      </c>
      <c r="G122" s="221">
        <v>0</v>
      </c>
      <c r="H122" s="221">
        <v>0</v>
      </c>
      <c r="I122" s="221">
        <v>0</v>
      </c>
      <c r="J122" s="221">
        <v>0</v>
      </c>
      <c r="K122" s="221">
        <v>0</v>
      </c>
      <c r="L122" s="221">
        <v>0</v>
      </c>
      <c r="M122" s="221">
        <v>0</v>
      </c>
      <c r="N122" s="221">
        <v>0</v>
      </c>
      <c r="O122" s="222">
        <v>0</v>
      </c>
    </row>
    <row r="123" spans="1:15" x14ac:dyDescent="0.25">
      <c r="A123" s="232" t="s">
        <v>92</v>
      </c>
      <c r="B123" s="233"/>
      <c r="C123" s="234">
        <v>0</v>
      </c>
      <c r="D123" s="235">
        <v>0</v>
      </c>
      <c r="E123" s="235">
        <v>0</v>
      </c>
      <c r="F123" s="235">
        <v>0</v>
      </c>
      <c r="G123" s="235">
        <v>0</v>
      </c>
      <c r="H123" s="235">
        <v>0</v>
      </c>
      <c r="I123" s="235">
        <v>0</v>
      </c>
      <c r="J123" s="235">
        <v>0</v>
      </c>
      <c r="K123" s="235">
        <v>0</v>
      </c>
      <c r="L123" s="235">
        <v>0</v>
      </c>
      <c r="M123" s="235">
        <v>0</v>
      </c>
      <c r="N123" s="235">
        <v>0</v>
      </c>
      <c r="O123" s="236">
        <v>0</v>
      </c>
    </row>
    <row r="125" spans="1:15" x14ac:dyDescent="0.25">
      <c r="L125" s="201"/>
      <c r="O125" s="201"/>
    </row>
    <row r="126" spans="1:15" x14ac:dyDescent="0.25">
      <c r="L126" s="83"/>
      <c r="O126" s="83"/>
    </row>
  </sheetData>
  <phoneticPr fontId="6" type="noConversion"/>
  <pageMargins left="0.5" right="0.5" top="0.73" bottom="0.98" header="0.5" footer="0.5"/>
  <pageSetup scale="53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activeCell="E20" sqref="E20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64</v>
      </c>
    </row>
    <row r="3" spans="1:2" x14ac:dyDescent="0.25">
      <c r="A3" s="2">
        <v>1</v>
      </c>
      <c r="B3" s="3" t="s">
        <v>66</v>
      </c>
    </row>
    <row r="4" spans="1:2" ht="13" x14ac:dyDescent="0.3">
      <c r="A4" s="2">
        <v>2</v>
      </c>
      <c r="B4" s="3" t="s">
        <v>65</v>
      </c>
    </row>
    <row r="5" spans="1:2" ht="13" x14ac:dyDescent="0.3">
      <c r="A5" s="2">
        <v>3</v>
      </c>
      <c r="B5" s="3" t="s">
        <v>67</v>
      </c>
    </row>
    <row r="6" spans="1:2" ht="13" x14ac:dyDescent="0.3">
      <c r="A6" s="2">
        <v>4</v>
      </c>
      <c r="B6" s="4" t="s">
        <v>81</v>
      </c>
    </row>
    <row r="7" spans="1:2" x14ac:dyDescent="0.25">
      <c r="A7" s="2">
        <v>5</v>
      </c>
      <c r="B7" s="3" t="s">
        <v>68</v>
      </c>
    </row>
    <row r="8" spans="1:2" x14ac:dyDescent="0.25">
      <c r="A8" s="2">
        <v>6</v>
      </c>
      <c r="B8" s="3" t="s">
        <v>69</v>
      </c>
    </row>
    <row r="9" spans="1:2" x14ac:dyDescent="0.25">
      <c r="A9" s="2">
        <v>7</v>
      </c>
      <c r="B9" s="5" t="s">
        <v>70</v>
      </c>
    </row>
    <row r="10" spans="1:2" ht="13" x14ac:dyDescent="0.3">
      <c r="A10" s="2">
        <v>8</v>
      </c>
      <c r="B10" s="3" t="s">
        <v>73</v>
      </c>
    </row>
    <row r="11" spans="1:2" x14ac:dyDescent="0.25">
      <c r="A11" s="2"/>
      <c r="B11" s="3" t="s">
        <v>74</v>
      </c>
    </row>
    <row r="12" spans="1:2" x14ac:dyDescent="0.25">
      <c r="A12" s="2"/>
      <c r="B12" s="5" t="s">
        <v>75</v>
      </c>
    </row>
    <row r="13" spans="1:2" x14ac:dyDescent="0.25">
      <c r="A13" s="2"/>
      <c r="B13" s="5" t="s">
        <v>76</v>
      </c>
    </row>
    <row r="14" spans="1:2" x14ac:dyDescent="0.25">
      <c r="A14" s="2">
        <v>9</v>
      </c>
      <c r="B14" s="3" t="s">
        <v>77</v>
      </c>
    </row>
    <row r="15" spans="1:2" x14ac:dyDescent="0.25">
      <c r="A15" s="2">
        <v>10</v>
      </c>
      <c r="B15" s="3" t="s">
        <v>79</v>
      </c>
    </row>
    <row r="16" spans="1:2" x14ac:dyDescent="0.25">
      <c r="A16" s="2">
        <v>11</v>
      </c>
      <c r="B16" s="3" t="s">
        <v>80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S220"/>
  <sheetViews>
    <sheetView showGridLines="0" view="pageBreakPreview" topLeftCell="E3" zoomScaleNormal="80" zoomScaleSheetLayoutView="100" workbookViewId="0">
      <selection activeCell="C6" sqref="C6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31" customWidth="1"/>
    <col min="5" max="5" width="24.26953125" style="1" customWidth="1"/>
    <col min="6" max="6" width="7.7265625" style="131" customWidth="1"/>
    <col min="7" max="7" width="8" style="131" customWidth="1"/>
    <col min="8" max="8" width="11.1796875" style="131" bestFit="1" customWidth="1"/>
    <col min="9" max="9" width="11.26953125" style="132" customWidth="1"/>
    <col min="10" max="10" width="13.7265625" style="131" customWidth="1"/>
    <col min="11" max="11" width="13.54296875" style="133" customWidth="1"/>
    <col min="12" max="12" width="14.7265625" style="131" customWidth="1"/>
    <col min="13" max="13" width="13.453125" style="94" bestFit="1" customWidth="1"/>
    <col min="14" max="17" width="13.453125" style="94" customWidth="1"/>
    <col min="18" max="18" width="15.54296875" style="199" customWidth="1"/>
    <col min="19" max="16384" width="8.7265625" style="1"/>
  </cols>
  <sheetData>
    <row r="1" spans="2:18" ht="21.5" x14ac:dyDescent="0.3">
      <c r="B1" s="10" t="s">
        <v>96</v>
      </c>
      <c r="C1" s="84"/>
      <c r="D1" s="85"/>
      <c r="E1" s="84"/>
      <c r="F1" s="86" t="s">
        <v>12</v>
      </c>
      <c r="G1" s="87"/>
      <c r="H1" s="88"/>
      <c r="I1" s="89"/>
      <c r="J1" s="206" t="str">
        <f>"True-Up ARR
(CY"&amp;R1&amp;")"</f>
        <v>True-Up ARR
(CY2024)</v>
      </c>
      <c r="K1" s="206" t="str">
        <f>"Projected ARR
(Jan'"&amp;RIGHT(R$1,2)&amp;" - Dec'"&amp;RIGHT(R$1,2)&amp;")"</f>
        <v>Projected ARR
(Jan'24 - Dec'24)</v>
      </c>
      <c r="L1" s="90" t="s">
        <v>46</v>
      </c>
      <c r="M1" s="91"/>
      <c r="N1" s="50"/>
      <c r="O1" s="50"/>
      <c r="P1" s="50"/>
      <c r="Q1" s="50"/>
      <c r="R1" s="92">
        <v>2024</v>
      </c>
    </row>
    <row r="2" spans="2:18" ht="13" x14ac:dyDescent="0.3">
      <c r="B2" s="10" t="s">
        <v>53</v>
      </c>
      <c r="C2" s="84"/>
      <c r="D2" s="85"/>
      <c r="E2" s="84"/>
      <c r="F2" s="93">
        <v>1</v>
      </c>
      <c r="G2" s="238"/>
      <c r="H2" s="238"/>
      <c r="I2" s="95" t="s">
        <v>6</v>
      </c>
      <c r="J2" s="96">
        <v>48.845035899999999</v>
      </c>
      <c r="K2" s="96">
        <v>9.42460938862585</v>
      </c>
      <c r="L2" s="97"/>
      <c r="M2" s="98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CY2024 SPP Network Transmission Service</v>
      </c>
      <c r="C3" s="84"/>
      <c r="D3" s="85"/>
      <c r="E3" s="84"/>
      <c r="F3" s="93"/>
      <c r="G3" s="238"/>
      <c r="H3" s="238"/>
      <c r="I3" s="95" t="s">
        <v>10</v>
      </c>
      <c r="J3" s="99">
        <v>4.7954991262174045E-4</v>
      </c>
      <c r="K3" s="99">
        <v>9.2845976559737667E-5</v>
      </c>
      <c r="L3" s="100" t="str">
        <f>"Inv. Jan-Dec'"&amp;RIGHT(R1,2)</f>
        <v>Inv. Jan-Dec'24</v>
      </c>
      <c r="M3" s="98"/>
      <c r="N3" s="50"/>
      <c r="O3" s="50"/>
      <c r="P3" s="50"/>
      <c r="Q3" s="50"/>
      <c r="R3" s="1"/>
    </row>
    <row r="4" spans="2:18" ht="13" x14ac:dyDescent="0.3">
      <c r="B4" s="9"/>
      <c r="C4" s="84"/>
      <c r="D4" s="85"/>
      <c r="E4" s="84"/>
      <c r="F4" s="93"/>
      <c r="G4" s="94"/>
      <c r="H4" s="94"/>
      <c r="I4" s="49"/>
      <c r="J4" s="94"/>
      <c r="K4" s="101"/>
      <c r="L4" s="94"/>
      <c r="M4" s="102"/>
      <c r="R4" s="1"/>
    </row>
    <row r="5" spans="2:18" ht="13" x14ac:dyDescent="0.3">
      <c r="B5" s="9"/>
      <c r="C5" s="84"/>
      <c r="D5" s="85"/>
      <c r="E5" s="84"/>
      <c r="F5" s="93"/>
      <c r="G5" s="94"/>
      <c r="H5" s="94"/>
      <c r="I5" s="95"/>
      <c r="J5" s="94"/>
      <c r="K5" s="96">
        <v>0</v>
      </c>
      <c r="L5" s="97"/>
      <c r="M5" s="103"/>
      <c r="N5" s="104"/>
      <c r="O5" s="104"/>
      <c r="P5" s="104"/>
      <c r="Q5" s="104"/>
      <c r="R5" s="105"/>
    </row>
    <row r="6" spans="2:18" ht="13" x14ac:dyDescent="0.3">
      <c r="B6" s="10" t="s">
        <v>23</v>
      </c>
      <c r="D6" s="85"/>
      <c r="E6" s="84"/>
      <c r="F6" s="106"/>
      <c r="G6" s="107"/>
      <c r="H6" s="108"/>
      <c r="I6" s="109"/>
      <c r="J6" s="110"/>
      <c r="K6" s="96">
        <v>0</v>
      </c>
      <c r="L6" s="200"/>
      <c r="M6" s="103"/>
      <c r="N6" s="104"/>
      <c r="O6" s="104"/>
      <c r="P6" s="104"/>
      <c r="Q6" s="104"/>
      <c r="R6" s="1"/>
    </row>
    <row r="7" spans="2:18" ht="13" x14ac:dyDescent="0.3">
      <c r="B7" s="9" t="s">
        <v>78</v>
      </c>
      <c r="D7" s="85"/>
      <c r="E7" s="84"/>
      <c r="F7" s="93"/>
      <c r="G7" s="239"/>
      <c r="H7" s="238"/>
      <c r="I7" s="95"/>
      <c r="J7" s="111"/>
      <c r="K7" s="97"/>
      <c r="L7" s="97"/>
      <c r="M7" s="112"/>
      <c r="N7" s="113"/>
      <c r="O7" s="113"/>
      <c r="P7" s="113"/>
      <c r="Q7" s="113"/>
      <c r="R7" s="1"/>
    </row>
    <row r="8" spans="2:18" ht="13" x14ac:dyDescent="0.3">
      <c r="B8" s="10"/>
      <c r="C8" s="84"/>
      <c r="D8" s="85"/>
      <c r="E8" s="84"/>
      <c r="F8" s="93"/>
      <c r="G8" s="238"/>
      <c r="H8" s="238"/>
      <c r="I8" s="95"/>
      <c r="J8" s="114"/>
      <c r="K8" s="97"/>
      <c r="L8" s="115"/>
      <c r="M8" s="98"/>
      <c r="N8" s="50"/>
      <c r="O8" s="50"/>
      <c r="P8" s="50"/>
      <c r="Q8" s="50"/>
      <c r="R8" s="105"/>
    </row>
    <row r="9" spans="2:18" ht="13" x14ac:dyDescent="0.3">
      <c r="B9" s="116"/>
      <c r="C9" s="84"/>
      <c r="D9" s="85"/>
      <c r="E9" s="84"/>
      <c r="F9" s="93"/>
      <c r="G9" s="94"/>
      <c r="H9" s="94"/>
      <c r="I9" s="117"/>
      <c r="J9" s="118"/>
      <c r="K9" s="119"/>
      <c r="L9" s="120"/>
      <c r="M9" s="98"/>
      <c r="N9" s="50"/>
      <c r="O9" s="50"/>
      <c r="P9" s="50"/>
      <c r="Q9" s="50"/>
      <c r="R9" s="105"/>
    </row>
    <row r="10" spans="2:18" ht="13.5" thickBot="1" x14ac:dyDescent="0.35">
      <c r="B10" s="9"/>
      <c r="D10" s="1"/>
      <c r="E10" s="121"/>
      <c r="F10" s="122"/>
      <c r="G10" s="123"/>
      <c r="H10" s="124"/>
      <c r="I10" s="125"/>
      <c r="J10" s="126"/>
      <c r="K10" s="126"/>
      <c r="L10" s="127"/>
      <c r="M10" s="128"/>
      <c r="R10" s="129"/>
    </row>
    <row r="11" spans="2:18" ht="13" x14ac:dyDescent="0.3">
      <c r="B11" s="130" t="s">
        <v>98</v>
      </c>
      <c r="E11" s="121"/>
      <c r="L11" s="134"/>
      <c r="M11" s="1"/>
      <c r="N11" s="1"/>
      <c r="O11" s="1"/>
      <c r="P11" s="1"/>
      <c r="Q11" s="1"/>
      <c r="R11" s="105"/>
    </row>
    <row r="12" spans="2:18" x14ac:dyDescent="0.25">
      <c r="E12" s="121"/>
      <c r="L12" s="134"/>
      <c r="R12" s="135" t="s">
        <v>61</v>
      </c>
    </row>
    <row r="13" spans="2:18" ht="13" x14ac:dyDescent="0.3">
      <c r="E13" s="121"/>
      <c r="F13" s="136"/>
      <c r="G13" s="137"/>
      <c r="H13" s="137"/>
      <c r="I13" s="138" t="s">
        <v>59</v>
      </c>
      <c r="J13" s="139">
        <f t="shared" ref="J13:R13" si="0">SUM(J56:J211)</f>
        <v>12.897494899961709</v>
      </c>
      <c r="K13" s="139">
        <f t="shared" si="0"/>
        <v>2.4970925395741461</v>
      </c>
      <c r="L13" s="140">
        <f t="shared" si="0"/>
        <v>10.400402360387572</v>
      </c>
      <c r="M13" s="141">
        <f t="shared" si="0"/>
        <v>0.86972734012463104</v>
      </c>
      <c r="N13" s="139">
        <f t="shared" si="0"/>
        <v>11.270129700512209</v>
      </c>
      <c r="O13" s="139">
        <f>SUM(O56:O211)</f>
        <v>0</v>
      </c>
      <c r="P13" s="139">
        <f t="shared" si="0"/>
        <v>0</v>
      </c>
      <c r="Q13" s="139">
        <v>0</v>
      </c>
      <c r="R13" s="140">
        <f t="shared" si="0"/>
        <v>11.270129700512209</v>
      </c>
    </row>
    <row r="14" spans="2:18" ht="13" x14ac:dyDescent="0.3">
      <c r="E14" s="121"/>
      <c r="F14" s="142"/>
      <c r="G14" s="142"/>
      <c r="H14" s="142"/>
      <c r="I14" s="143" t="s">
        <v>60</v>
      </c>
      <c r="J14" s="139">
        <f>SUM(J20:J211)</f>
        <v>48.842638150436855</v>
      </c>
      <c r="K14" s="139">
        <f>SUM(K20:K211)</f>
        <v>9.4564555585858425</v>
      </c>
      <c r="L14" s="140">
        <f>SUM(L20:L211)</f>
        <v>39.386182591851046</v>
      </c>
      <c r="M14" s="202">
        <v>3.2936456337249993</v>
      </c>
      <c r="N14" s="139">
        <f>SUM(N20:N211)</f>
        <v>42.679828225576031</v>
      </c>
      <c r="O14" s="139">
        <f>SUM(O20:O211)</f>
        <v>0</v>
      </c>
      <c r="P14" s="139">
        <f>SUM(P20:P211)</f>
        <v>0</v>
      </c>
      <c r="Q14" s="139">
        <v>0</v>
      </c>
      <c r="R14" s="140">
        <f>SUM(R20:R211)</f>
        <v>42.679828225576031</v>
      </c>
    </row>
    <row r="15" spans="2:18" x14ac:dyDescent="0.25">
      <c r="B15" s="144" t="s">
        <v>84</v>
      </c>
      <c r="E15" s="121"/>
      <c r="J15" s="132"/>
      <c r="L15" s="134"/>
      <c r="M15" s="207"/>
      <c r="N15" s="145"/>
      <c r="O15" s="145"/>
      <c r="P15" s="145"/>
      <c r="Q15" s="145"/>
      <c r="R15" s="146" t="s">
        <v>20</v>
      </c>
    </row>
    <row r="16" spans="2:18" x14ac:dyDescent="0.25">
      <c r="B16" s="147" t="str">
        <f>"** Actual Trued-Up CY"&amp;R1&amp;" Charge reflects "&amp;R1&amp;" True-UP Rate x MW"</f>
        <v>** Actual Trued-Up CY2024 Charge reflects 2024 True-UP Rate x MW</v>
      </c>
      <c r="E16" s="121"/>
      <c r="F16" s="94"/>
      <c r="G16" s="5"/>
      <c r="J16" s="148"/>
      <c r="L16" s="149" t="s">
        <v>11</v>
      </c>
      <c r="M16" s="145"/>
      <c r="N16" s="145"/>
      <c r="O16" s="145"/>
      <c r="P16" s="145"/>
      <c r="Q16" s="145"/>
      <c r="R16" s="150"/>
    </row>
    <row r="17" spans="1:18" x14ac:dyDescent="0.25">
      <c r="B17" s="151" t="s">
        <v>63</v>
      </c>
      <c r="E17" s="121"/>
      <c r="I17" s="152"/>
      <c r="J17" s="153"/>
      <c r="K17" s="154"/>
      <c r="L17" s="154"/>
      <c r="M17" s="154"/>
      <c r="N17" s="154"/>
      <c r="O17" s="154"/>
      <c r="P17" s="154"/>
      <c r="Q17" s="154"/>
      <c r="R17" s="155"/>
    </row>
    <row r="18" spans="1:18" ht="3.65" customHeight="1" x14ac:dyDescent="0.25">
      <c r="I18" s="156"/>
      <c r="J18" s="153"/>
      <c r="K18" s="156"/>
      <c r="L18" s="156"/>
      <c r="M18" s="157"/>
      <c r="N18" s="157"/>
      <c r="O18" s="157"/>
      <c r="P18" s="157"/>
      <c r="Q18" s="157"/>
      <c r="R18" s="158"/>
    </row>
    <row r="19" spans="1:18" ht="38.25" customHeight="1" x14ac:dyDescent="0.25">
      <c r="B19" s="159" t="s">
        <v>54</v>
      </c>
      <c r="C19" s="208" t="s">
        <v>4</v>
      </c>
      <c r="D19" s="208" t="s">
        <v>5</v>
      </c>
      <c r="E19" s="209" t="s">
        <v>0</v>
      </c>
      <c r="F19" s="210" t="s">
        <v>12</v>
      </c>
      <c r="G19" s="211" t="s">
        <v>1</v>
      </c>
      <c r="H19" s="160" t="s">
        <v>49</v>
      </c>
      <c r="I19" s="160" t="s">
        <v>47</v>
      </c>
      <c r="J19" s="161" t="str">
        <f>"True-Up Charge"</f>
        <v>True-Up Charge</v>
      </c>
      <c r="K19" s="161" t="s">
        <v>48</v>
      </c>
      <c r="L19" s="162" t="s">
        <v>3</v>
      </c>
      <c r="M19" s="163" t="s">
        <v>7</v>
      </c>
      <c r="N19" s="164" t="s">
        <v>99</v>
      </c>
      <c r="O19" s="164" t="s">
        <v>86</v>
      </c>
      <c r="P19" s="164" t="s">
        <v>87</v>
      </c>
      <c r="Q19" s="164" t="s">
        <v>88</v>
      </c>
      <c r="R19" s="165" t="s">
        <v>2</v>
      </c>
    </row>
    <row r="20" spans="1:18" s="50" customFormat="1" ht="12.75" customHeight="1" x14ac:dyDescent="0.25">
      <c r="A20" s="94">
        <v>1</v>
      </c>
      <c r="B20" s="166">
        <f>DATE($R$1,A20,1)</f>
        <v>45292</v>
      </c>
      <c r="C20" s="203">
        <v>45327</v>
      </c>
      <c r="D20" s="203">
        <v>45348</v>
      </c>
      <c r="E20" s="167" t="s">
        <v>21</v>
      </c>
      <c r="F20" s="94">
        <v>9</v>
      </c>
      <c r="G20" s="168">
        <v>3252</v>
      </c>
      <c r="H20" s="169">
        <f>+$K$3</f>
        <v>9.2845976559737667E-5</v>
      </c>
      <c r="I20" s="169">
        <f t="shared" ref="I20:I63" si="1">$J$3</f>
        <v>4.7954991262174045E-4</v>
      </c>
      <c r="J20" s="170">
        <f t="shared" ref="J20:J108" si="2">+$G20*I20</f>
        <v>1.5594963158458999</v>
      </c>
      <c r="K20" s="171">
        <f>+$G20*H20</f>
        <v>0.30193511577226689</v>
      </c>
      <c r="L20" s="172">
        <f t="shared" ref="L20:L34" si="3">+J20-K20</f>
        <v>1.2575612000736329</v>
      </c>
      <c r="M20" s="173">
        <f>G20/$G$212*$M$14</f>
        <v>0.10516279271557175</v>
      </c>
      <c r="N20" s="174">
        <f>SUM(L20:M20)</f>
        <v>1.3627239927892048</v>
      </c>
      <c r="O20" s="173">
        <f>+$P$3</f>
        <v>0</v>
      </c>
      <c r="P20" s="173">
        <f>+G20*O20</f>
        <v>0</v>
      </c>
      <c r="Q20" s="173">
        <v>0</v>
      </c>
      <c r="R20" s="174">
        <f>+N20-Q20</f>
        <v>1.3627239927892048</v>
      </c>
    </row>
    <row r="21" spans="1:18" x14ac:dyDescent="0.25">
      <c r="A21" s="131">
        <v>2</v>
      </c>
      <c r="B21" s="166">
        <f t="shared" ref="B21:B108" si="4">DATE($R$1,A21,1)</f>
        <v>45323</v>
      </c>
      <c r="C21" s="203">
        <v>45356</v>
      </c>
      <c r="D21" s="203">
        <v>45376</v>
      </c>
      <c r="E21" s="175" t="s">
        <v>21</v>
      </c>
      <c r="F21" s="131">
        <v>9</v>
      </c>
      <c r="G21" s="168">
        <v>2338</v>
      </c>
      <c r="H21" s="169">
        <f t="shared" ref="H21:H84" si="5">+$K$3</f>
        <v>9.2845976559737667E-5</v>
      </c>
      <c r="I21" s="169">
        <f t="shared" si="1"/>
        <v>4.7954991262174045E-4</v>
      </c>
      <c r="J21" s="170">
        <f t="shared" si="2"/>
        <v>1.1211876957096292</v>
      </c>
      <c r="K21" s="171">
        <f t="shared" ref="K21:K33" si="6">+$G21*H21</f>
        <v>0.21707389319666667</v>
      </c>
      <c r="L21" s="172">
        <f t="shared" si="3"/>
        <v>0.90411380251296247</v>
      </c>
      <c r="M21" s="173">
        <f t="shared" ref="M21:M84" si="7">G21/$G$212*$M$14</f>
        <v>7.5605968440653981E-2</v>
      </c>
      <c r="N21" s="174">
        <f t="shared" ref="N21:N84" si="8">SUM(L21:M21)</f>
        <v>0.97971977095361651</v>
      </c>
      <c r="O21" s="173">
        <f t="shared" ref="O21:O84" si="9">+$P$3</f>
        <v>0</v>
      </c>
      <c r="P21" s="173">
        <f t="shared" ref="P21:P84" si="10">+G21*O21</f>
        <v>0</v>
      </c>
      <c r="Q21" s="173">
        <v>0</v>
      </c>
      <c r="R21" s="174">
        <f t="shared" ref="R21:R84" si="11">+N21-Q21</f>
        <v>0.97971977095361651</v>
      </c>
    </row>
    <row r="22" spans="1:18" x14ac:dyDescent="0.25">
      <c r="A22" s="131">
        <v>3</v>
      </c>
      <c r="B22" s="166">
        <f t="shared" si="4"/>
        <v>45352</v>
      </c>
      <c r="C22" s="203">
        <v>45385</v>
      </c>
      <c r="D22" s="203">
        <v>45406</v>
      </c>
      <c r="E22" s="175" t="s">
        <v>21</v>
      </c>
      <c r="F22" s="131">
        <v>9</v>
      </c>
      <c r="G22" s="168">
        <v>2216</v>
      </c>
      <c r="H22" s="169">
        <f t="shared" si="5"/>
        <v>9.2845976559737667E-5</v>
      </c>
      <c r="I22" s="169">
        <f t="shared" si="1"/>
        <v>4.7954991262174045E-4</v>
      </c>
      <c r="J22" s="170">
        <f t="shared" si="2"/>
        <v>1.0626826063697767</v>
      </c>
      <c r="K22" s="171">
        <f t="shared" si="6"/>
        <v>0.20574668405637866</v>
      </c>
      <c r="L22" s="172">
        <f t="shared" si="3"/>
        <v>0.8569359223133981</v>
      </c>
      <c r="M22" s="173">
        <f t="shared" si="7"/>
        <v>7.1660746819713086E-2</v>
      </c>
      <c r="N22" s="174">
        <f t="shared" si="8"/>
        <v>0.92859666913311123</v>
      </c>
      <c r="O22" s="173">
        <f t="shared" si="9"/>
        <v>0</v>
      </c>
      <c r="P22" s="173">
        <f t="shared" si="10"/>
        <v>0</v>
      </c>
      <c r="Q22" s="173">
        <v>0</v>
      </c>
      <c r="R22" s="174">
        <f t="shared" si="11"/>
        <v>0.92859666913311123</v>
      </c>
    </row>
    <row r="23" spans="1:18" x14ac:dyDescent="0.25">
      <c r="A23" s="94">
        <v>4</v>
      </c>
      <c r="B23" s="166">
        <f t="shared" si="4"/>
        <v>45383</v>
      </c>
      <c r="C23" s="203">
        <v>45415</v>
      </c>
      <c r="D23" s="203">
        <v>45436</v>
      </c>
      <c r="E23" s="175" t="s">
        <v>21</v>
      </c>
      <c r="F23" s="131">
        <v>9</v>
      </c>
      <c r="G23" s="168">
        <v>2777</v>
      </c>
      <c r="H23" s="169">
        <f t="shared" si="5"/>
        <v>9.2845976559737667E-5</v>
      </c>
      <c r="I23" s="169">
        <f t="shared" si="1"/>
        <v>4.7954991262174045E-4</v>
      </c>
      <c r="J23" s="170">
        <f t="shared" si="2"/>
        <v>1.3317101073505733</v>
      </c>
      <c r="K23" s="171">
        <f t="shared" si="6"/>
        <v>0.25783327690639152</v>
      </c>
      <c r="L23" s="172">
        <f t="shared" si="3"/>
        <v>1.0738768304441817</v>
      </c>
      <c r="M23" s="173">
        <f t="shared" si="7"/>
        <v>8.9802298699613384E-2</v>
      </c>
      <c r="N23" s="174">
        <f t="shared" si="8"/>
        <v>1.1636791291437951</v>
      </c>
      <c r="O23" s="173">
        <f t="shared" si="9"/>
        <v>0</v>
      </c>
      <c r="P23" s="173">
        <f t="shared" si="10"/>
        <v>0</v>
      </c>
      <c r="Q23" s="173">
        <v>0</v>
      </c>
      <c r="R23" s="174">
        <f t="shared" si="11"/>
        <v>1.1636791291437951</v>
      </c>
    </row>
    <row r="24" spans="1:18" ht="12" customHeight="1" x14ac:dyDescent="0.25">
      <c r="A24" s="131">
        <v>5</v>
      </c>
      <c r="B24" s="166">
        <f t="shared" si="4"/>
        <v>45413</v>
      </c>
      <c r="C24" s="203">
        <v>45448</v>
      </c>
      <c r="D24" s="203">
        <v>45467</v>
      </c>
      <c r="E24" s="52" t="s">
        <v>21</v>
      </c>
      <c r="F24" s="131">
        <v>9</v>
      </c>
      <c r="G24" s="168">
        <v>3245</v>
      </c>
      <c r="H24" s="169">
        <f t="shared" si="5"/>
        <v>9.2845976559737667E-5</v>
      </c>
      <c r="I24" s="169">
        <f t="shared" si="1"/>
        <v>4.7954991262174045E-4</v>
      </c>
      <c r="J24" s="170">
        <f t="shared" si="2"/>
        <v>1.5561394664575479</v>
      </c>
      <c r="K24" s="171">
        <f t="shared" si="6"/>
        <v>0.30128519393634873</v>
      </c>
      <c r="L24" s="172">
        <f t="shared" si="3"/>
        <v>1.2548542725211991</v>
      </c>
      <c r="M24" s="173">
        <f t="shared" si="7"/>
        <v>0.10493642754059972</v>
      </c>
      <c r="N24" s="174">
        <f t="shared" si="8"/>
        <v>1.3597907000617988</v>
      </c>
      <c r="O24" s="173">
        <f t="shared" si="9"/>
        <v>0</v>
      </c>
      <c r="P24" s="173">
        <f t="shared" si="10"/>
        <v>0</v>
      </c>
      <c r="Q24" s="173">
        <v>0</v>
      </c>
      <c r="R24" s="174">
        <f t="shared" si="11"/>
        <v>1.3597907000617988</v>
      </c>
    </row>
    <row r="25" spans="1:18" x14ac:dyDescent="0.25">
      <c r="A25" s="131">
        <v>6</v>
      </c>
      <c r="B25" s="166">
        <f t="shared" si="4"/>
        <v>45444</v>
      </c>
      <c r="C25" s="203">
        <v>45476</v>
      </c>
      <c r="D25" s="203">
        <v>45497</v>
      </c>
      <c r="E25" s="52" t="s">
        <v>21</v>
      </c>
      <c r="F25" s="131">
        <v>9</v>
      </c>
      <c r="G25" s="168">
        <v>4080</v>
      </c>
      <c r="H25" s="169">
        <f t="shared" si="5"/>
        <v>9.2845976559737667E-5</v>
      </c>
      <c r="I25" s="169">
        <f t="shared" si="1"/>
        <v>4.7954991262174045E-4</v>
      </c>
      <c r="J25" s="170">
        <f t="shared" si="2"/>
        <v>1.9565636434967011</v>
      </c>
      <c r="K25" s="171">
        <f t="shared" si="6"/>
        <v>0.37881158436372969</v>
      </c>
      <c r="L25" s="176">
        <f t="shared" si="3"/>
        <v>1.5777520591329715</v>
      </c>
      <c r="M25" s="173">
        <f t="shared" si="7"/>
        <v>0.13193855912654756</v>
      </c>
      <c r="N25" s="174">
        <f t="shared" si="8"/>
        <v>1.7096906182595191</v>
      </c>
      <c r="O25" s="173">
        <f t="shared" si="9"/>
        <v>0</v>
      </c>
      <c r="P25" s="173">
        <f t="shared" si="10"/>
        <v>0</v>
      </c>
      <c r="Q25" s="173">
        <v>0</v>
      </c>
      <c r="R25" s="174">
        <f t="shared" si="11"/>
        <v>1.7096906182595191</v>
      </c>
    </row>
    <row r="26" spans="1:18" x14ac:dyDescent="0.25">
      <c r="A26" s="94">
        <v>7</v>
      </c>
      <c r="B26" s="166">
        <f t="shared" si="4"/>
        <v>45474</v>
      </c>
      <c r="C26" s="203">
        <v>45509</v>
      </c>
      <c r="D26" s="203">
        <v>45530</v>
      </c>
      <c r="E26" s="52" t="s">
        <v>21</v>
      </c>
      <c r="F26" s="131">
        <v>9</v>
      </c>
      <c r="G26" s="168">
        <v>4149</v>
      </c>
      <c r="H26" s="169">
        <f t="shared" si="5"/>
        <v>9.2845976559737667E-5</v>
      </c>
      <c r="I26" s="169">
        <f t="shared" si="1"/>
        <v>4.7954991262174045E-4</v>
      </c>
      <c r="J26" s="170">
        <f t="shared" si="2"/>
        <v>1.9896525874676012</v>
      </c>
      <c r="K26" s="177">
        <f t="shared" si="6"/>
        <v>0.38521795674635156</v>
      </c>
      <c r="L26" s="176">
        <f t="shared" si="3"/>
        <v>1.6044346307212496</v>
      </c>
      <c r="M26" s="173">
        <f t="shared" si="7"/>
        <v>0.13416987299412889</v>
      </c>
      <c r="N26" s="174">
        <f t="shared" si="8"/>
        <v>1.7386045037153786</v>
      </c>
      <c r="O26" s="173">
        <f t="shared" si="9"/>
        <v>0</v>
      </c>
      <c r="P26" s="173">
        <f t="shared" si="10"/>
        <v>0</v>
      </c>
      <c r="Q26" s="173">
        <v>0</v>
      </c>
      <c r="R26" s="174">
        <f t="shared" si="11"/>
        <v>1.7386045037153786</v>
      </c>
    </row>
    <row r="27" spans="1:18" x14ac:dyDescent="0.25">
      <c r="A27" s="131">
        <v>8</v>
      </c>
      <c r="B27" s="166">
        <f t="shared" si="4"/>
        <v>45505</v>
      </c>
      <c r="C27" s="203">
        <v>45539</v>
      </c>
      <c r="D27" s="203">
        <v>45559</v>
      </c>
      <c r="E27" s="52" t="s">
        <v>21</v>
      </c>
      <c r="F27" s="131">
        <v>9</v>
      </c>
      <c r="G27" s="168">
        <v>4151</v>
      </c>
      <c r="H27" s="169">
        <f t="shared" si="5"/>
        <v>9.2845976559737667E-5</v>
      </c>
      <c r="I27" s="169">
        <f t="shared" si="1"/>
        <v>4.7954991262174045E-4</v>
      </c>
      <c r="J27" s="170">
        <f t="shared" si="2"/>
        <v>1.9906116872928445</v>
      </c>
      <c r="K27" s="177">
        <f t="shared" si="6"/>
        <v>0.38540364869947108</v>
      </c>
      <c r="L27" s="176">
        <f t="shared" si="3"/>
        <v>1.6052080385933736</v>
      </c>
      <c r="M27" s="173">
        <f t="shared" si="7"/>
        <v>0.13423454875840662</v>
      </c>
      <c r="N27" s="174">
        <f t="shared" si="8"/>
        <v>1.7394425873517803</v>
      </c>
      <c r="O27" s="173">
        <f t="shared" si="9"/>
        <v>0</v>
      </c>
      <c r="P27" s="173">
        <f t="shared" si="10"/>
        <v>0</v>
      </c>
      <c r="Q27" s="173">
        <v>0</v>
      </c>
      <c r="R27" s="174">
        <f t="shared" si="11"/>
        <v>1.7394425873517803</v>
      </c>
    </row>
    <row r="28" spans="1:18" x14ac:dyDescent="0.25">
      <c r="A28" s="131">
        <v>9</v>
      </c>
      <c r="B28" s="166">
        <f t="shared" si="4"/>
        <v>45536</v>
      </c>
      <c r="C28" s="203">
        <v>45568</v>
      </c>
      <c r="D28" s="203">
        <v>45589</v>
      </c>
      <c r="E28" s="52" t="s">
        <v>21</v>
      </c>
      <c r="F28" s="131">
        <v>9</v>
      </c>
      <c r="G28" s="168">
        <v>3859</v>
      </c>
      <c r="H28" s="169">
        <f t="shared" si="5"/>
        <v>9.2845976559737667E-5</v>
      </c>
      <c r="I28" s="169">
        <f t="shared" si="1"/>
        <v>4.7954991262174045E-4</v>
      </c>
      <c r="J28" s="170">
        <f t="shared" si="2"/>
        <v>1.8505831128072965</v>
      </c>
      <c r="K28" s="177">
        <f t="shared" si="6"/>
        <v>0.35829262354402763</v>
      </c>
      <c r="L28" s="176">
        <f t="shared" si="3"/>
        <v>1.4922904892632689</v>
      </c>
      <c r="M28" s="173">
        <f t="shared" si="7"/>
        <v>0.12479188717385958</v>
      </c>
      <c r="N28" s="174">
        <f t="shared" si="8"/>
        <v>1.6170823764371285</v>
      </c>
      <c r="O28" s="173">
        <f t="shared" si="9"/>
        <v>0</v>
      </c>
      <c r="P28" s="173">
        <f t="shared" si="10"/>
        <v>0</v>
      </c>
      <c r="Q28" s="173">
        <v>0</v>
      </c>
      <c r="R28" s="174">
        <f t="shared" si="11"/>
        <v>1.6170823764371285</v>
      </c>
    </row>
    <row r="29" spans="1:18" x14ac:dyDescent="0.25">
      <c r="A29" s="94">
        <v>10</v>
      </c>
      <c r="B29" s="166">
        <f t="shared" si="4"/>
        <v>45566</v>
      </c>
      <c r="C29" s="203">
        <v>45601</v>
      </c>
      <c r="D29" s="203">
        <v>45621</v>
      </c>
      <c r="E29" s="52" t="s">
        <v>21</v>
      </c>
      <c r="F29" s="131">
        <v>9</v>
      </c>
      <c r="G29" s="168">
        <v>3429</v>
      </c>
      <c r="H29" s="169">
        <f t="shared" si="5"/>
        <v>9.2845976559737667E-5</v>
      </c>
      <c r="I29" s="169">
        <f t="shared" si="1"/>
        <v>4.7954991262174045E-4</v>
      </c>
      <c r="J29" s="170">
        <f t="shared" si="2"/>
        <v>1.644376650379948</v>
      </c>
      <c r="K29" s="177">
        <f t="shared" si="6"/>
        <v>0.31836885362334044</v>
      </c>
      <c r="L29" s="176">
        <f t="shared" si="3"/>
        <v>1.3260077967566075</v>
      </c>
      <c r="M29" s="173">
        <f t="shared" si="7"/>
        <v>0.11088659785414992</v>
      </c>
      <c r="N29" s="174">
        <f t="shared" si="8"/>
        <v>1.4368943946107575</v>
      </c>
      <c r="O29" s="173">
        <f t="shared" si="9"/>
        <v>0</v>
      </c>
      <c r="P29" s="173">
        <f t="shared" si="10"/>
        <v>0</v>
      </c>
      <c r="Q29" s="173">
        <v>0</v>
      </c>
      <c r="R29" s="174">
        <f t="shared" si="11"/>
        <v>1.4368943946107575</v>
      </c>
    </row>
    <row r="30" spans="1:18" x14ac:dyDescent="0.25">
      <c r="A30" s="131">
        <v>11</v>
      </c>
      <c r="B30" s="166">
        <f t="shared" si="4"/>
        <v>45597</v>
      </c>
      <c r="C30" s="203">
        <v>45630</v>
      </c>
      <c r="D30" s="203">
        <v>45650</v>
      </c>
      <c r="E30" s="52" t="s">
        <v>21</v>
      </c>
      <c r="F30" s="131">
        <v>9</v>
      </c>
      <c r="G30" s="168">
        <v>2220</v>
      </c>
      <c r="H30" s="169">
        <f t="shared" si="5"/>
        <v>9.2845976559737667E-5</v>
      </c>
      <c r="I30" s="169">
        <f t="shared" si="1"/>
        <v>4.7954991262174045E-4</v>
      </c>
      <c r="J30" s="170">
        <f t="shared" si="2"/>
        <v>1.0646008060202639</v>
      </c>
      <c r="K30" s="177">
        <f t="shared" si="6"/>
        <v>0.20611806796261761</v>
      </c>
      <c r="L30" s="176">
        <f t="shared" si="3"/>
        <v>0.8584827380576463</v>
      </c>
      <c r="M30" s="173">
        <f t="shared" si="7"/>
        <v>7.1790098348268536E-2</v>
      </c>
      <c r="N30" s="174">
        <f t="shared" si="8"/>
        <v>0.93027283640591485</v>
      </c>
      <c r="O30" s="173">
        <f t="shared" si="9"/>
        <v>0</v>
      </c>
      <c r="P30" s="173">
        <f t="shared" si="10"/>
        <v>0</v>
      </c>
      <c r="Q30" s="173">
        <v>0</v>
      </c>
      <c r="R30" s="174">
        <f t="shared" si="11"/>
        <v>0.93027283640591485</v>
      </c>
    </row>
    <row r="31" spans="1:18" x14ac:dyDescent="0.25">
      <c r="A31" s="131">
        <v>12</v>
      </c>
      <c r="B31" s="166">
        <f t="shared" si="4"/>
        <v>45627</v>
      </c>
      <c r="C31" s="204">
        <v>45660</v>
      </c>
      <c r="D31" s="205">
        <v>45681</v>
      </c>
      <c r="E31" s="52" t="s">
        <v>21</v>
      </c>
      <c r="F31" s="131">
        <v>9</v>
      </c>
      <c r="G31" s="168">
        <v>2569</v>
      </c>
      <c r="H31" s="178">
        <f t="shared" si="5"/>
        <v>9.2845976559737667E-5</v>
      </c>
      <c r="I31" s="178">
        <f t="shared" si="1"/>
        <v>4.7954991262174045E-4</v>
      </c>
      <c r="J31" s="179">
        <f t="shared" si="2"/>
        <v>1.2319637255252511</v>
      </c>
      <c r="K31" s="180">
        <f t="shared" si="6"/>
        <v>0.23852131378196606</v>
      </c>
      <c r="L31" s="181">
        <f t="shared" si="3"/>
        <v>0.99344241174328507</v>
      </c>
      <c r="M31" s="173">
        <f t="shared" si="7"/>
        <v>8.3076019214730568E-2</v>
      </c>
      <c r="N31" s="174">
        <f t="shared" si="8"/>
        <v>1.0765184309580156</v>
      </c>
      <c r="O31" s="173">
        <f t="shared" si="9"/>
        <v>0</v>
      </c>
      <c r="P31" s="173">
        <f t="shared" si="10"/>
        <v>0</v>
      </c>
      <c r="Q31" s="173">
        <v>0</v>
      </c>
      <c r="R31" s="174">
        <f t="shared" si="11"/>
        <v>1.0765184309580156</v>
      </c>
    </row>
    <row r="32" spans="1:18" x14ac:dyDescent="0.25">
      <c r="A32" s="94">
        <v>1</v>
      </c>
      <c r="B32" s="182">
        <f t="shared" si="4"/>
        <v>45292</v>
      </c>
      <c r="C32" s="183">
        <f t="shared" ref="C32:D43" si="12">+C20</f>
        <v>45327</v>
      </c>
      <c r="D32" s="183">
        <f t="shared" si="12"/>
        <v>45348</v>
      </c>
      <c r="E32" s="184" t="s">
        <v>22</v>
      </c>
      <c r="F32" s="185">
        <v>9</v>
      </c>
      <c r="G32" s="168">
        <v>3306</v>
      </c>
      <c r="H32" s="169">
        <f>+$K$3</f>
        <v>9.2845976559737667E-5</v>
      </c>
      <c r="I32" s="169">
        <f t="shared" si="1"/>
        <v>4.7954991262174045E-4</v>
      </c>
      <c r="J32" s="170">
        <f t="shared" si="2"/>
        <v>1.585392011127474</v>
      </c>
      <c r="K32" s="171">
        <f t="shared" si="6"/>
        <v>0.3069487985064927</v>
      </c>
      <c r="L32" s="172">
        <f t="shared" si="3"/>
        <v>1.2784432126209813</v>
      </c>
      <c r="M32" s="173">
        <f t="shared" si="7"/>
        <v>0.10690903835107017</v>
      </c>
      <c r="N32" s="174">
        <f t="shared" si="8"/>
        <v>1.3853522509720515</v>
      </c>
      <c r="O32" s="173">
        <f t="shared" si="9"/>
        <v>0</v>
      </c>
      <c r="P32" s="173">
        <f t="shared" si="10"/>
        <v>0</v>
      </c>
      <c r="Q32" s="173">
        <v>0</v>
      </c>
      <c r="R32" s="174">
        <f t="shared" si="11"/>
        <v>1.3853522509720515</v>
      </c>
    </row>
    <row r="33" spans="1:18" x14ac:dyDescent="0.25">
      <c r="A33" s="131">
        <v>2</v>
      </c>
      <c r="B33" s="166">
        <f t="shared" si="4"/>
        <v>45323</v>
      </c>
      <c r="C33" s="186">
        <f t="shared" si="12"/>
        <v>45356</v>
      </c>
      <c r="D33" s="186">
        <f t="shared" si="12"/>
        <v>45376</v>
      </c>
      <c r="E33" s="175" t="s">
        <v>22</v>
      </c>
      <c r="F33" s="131">
        <v>9</v>
      </c>
      <c r="G33" s="168">
        <v>2611</v>
      </c>
      <c r="H33" s="169">
        <f t="shared" si="5"/>
        <v>9.2845976559737667E-5</v>
      </c>
      <c r="I33" s="169">
        <f t="shared" si="1"/>
        <v>4.7954991262174045E-4</v>
      </c>
      <c r="J33" s="170">
        <f t="shared" si="2"/>
        <v>1.2521048218553643</v>
      </c>
      <c r="K33" s="171">
        <f t="shared" si="6"/>
        <v>0.24242084479747505</v>
      </c>
      <c r="L33" s="172">
        <f t="shared" si="3"/>
        <v>1.0096839770578891</v>
      </c>
      <c r="M33" s="173">
        <f t="shared" si="7"/>
        <v>8.4434210264562673E-2</v>
      </c>
      <c r="N33" s="174">
        <f t="shared" si="8"/>
        <v>1.0941181873224519</v>
      </c>
      <c r="O33" s="173">
        <f t="shared" si="9"/>
        <v>0</v>
      </c>
      <c r="P33" s="173">
        <f t="shared" si="10"/>
        <v>0</v>
      </c>
      <c r="Q33" s="173">
        <v>0</v>
      </c>
      <c r="R33" s="174">
        <f t="shared" si="11"/>
        <v>1.0941181873224519</v>
      </c>
    </row>
    <row r="34" spans="1:18" x14ac:dyDescent="0.25">
      <c r="A34" s="131">
        <v>3</v>
      </c>
      <c r="B34" s="166">
        <f t="shared" si="4"/>
        <v>45352</v>
      </c>
      <c r="C34" s="186">
        <f t="shared" si="12"/>
        <v>45385</v>
      </c>
      <c r="D34" s="186">
        <f t="shared" si="12"/>
        <v>45406</v>
      </c>
      <c r="E34" s="175" t="s">
        <v>22</v>
      </c>
      <c r="F34" s="131">
        <v>9</v>
      </c>
      <c r="G34" s="168">
        <v>2302</v>
      </c>
      <c r="H34" s="169">
        <f t="shared" si="5"/>
        <v>9.2845976559737667E-5</v>
      </c>
      <c r="I34" s="169">
        <f t="shared" si="1"/>
        <v>4.7954991262174045E-4</v>
      </c>
      <c r="J34" s="170">
        <f t="shared" si="2"/>
        <v>1.1039238988552464</v>
      </c>
      <c r="K34" s="171">
        <f t="shared" ref="K34:K93" si="13">+$G34*H34</f>
        <v>0.21373143804051611</v>
      </c>
      <c r="L34" s="172">
        <f t="shared" si="3"/>
        <v>0.89019246081473036</v>
      </c>
      <c r="M34" s="173">
        <f t="shared" si="7"/>
        <v>7.4441804683655022E-2</v>
      </c>
      <c r="N34" s="174">
        <f t="shared" si="8"/>
        <v>0.96463426549838538</v>
      </c>
      <c r="O34" s="173">
        <f t="shared" si="9"/>
        <v>0</v>
      </c>
      <c r="P34" s="173">
        <f t="shared" si="10"/>
        <v>0</v>
      </c>
      <c r="Q34" s="173">
        <v>0</v>
      </c>
      <c r="R34" s="174">
        <f t="shared" si="11"/>
        <v>0.96463426549838538</v>
      </c>
    </row>
    <row r="35" spans="1:18" x14ac:dyDescent="0.25">
      <c r="A35" s="94">
        <v>4</v>
      </c>
      <c r="B35" s="166">
        <f t="shared" si="4"/>
        <v>45383</v>
      </c>
      <c r="C35" s="186">
        <f t="shared" si="12"/>
        <v>45415</v>
      </c>
      <c r="D35" s="186">
        <f t="shared" si="12"/>
        <v>45436</v>
      </c>
      <c r="E35" s="175" t="s">
        <v>22</v>
      </c>
      <c r="F35" s="131">
        <v>9</v>
      </c>
      <c r="G35" s="168">
        <v>2486</v>
      </c>
      <c r="H35" s="169">
        <f t="shared" si="5"/>
        <v>9.2845976559737667E-5</v>
      </c>
      <c r="I35" s="169">
        <f t="shared" si="1"/>
        <v>4.7954991262174045E-4</v>
      </c>
      <c r="J35" s="170">
        <f t="shared" si="2"/>
        <v>1.1921610827776468</v>
      </c>
      <c r="K35" s="171">
        <f t="shared" si="13"/>
        <v>0.23081509772750783</v>
      </c>
      <c r="L35" s="172">
        <f t="shared" ref="L35:L57" si="14">+J35-K35</f>
        <v>0.96134598505013891</v>
      </c>
      <c r="M35" s="173">
        <f t="shared" si="7"/>
        <v>8.0391974997205212E-2</v>
      </c>
      <c r="N35" s="174">
        <f t="shared" si="8"/>
        <v>1.0417379600473442</v>
      </c>
      <c r="O35" s="173">
        <f t="shared" si="9"/>
        <v>0</v>
      </c>
      <c r="P35" s="173">
        <f t="shared" si="10"/>
        <v>0</v>
      </c>
      <c r="Q35" s="173">
        <v>0</v>
      </c>
      <c r="R35" s="174">
        <f t="shared" si="11"/>
        <v>1.0417379600473442</v>
      </c>
    </row>
    <row r="36" spans="1:18" x14ac:dyDescent="0.25">
      <c r="A36" s="131">
        <v>5</v>
      </c>
      <c r="B36" s="166">
        <f t="shared" si="4"/>
        <v>45413</v>
      </c>
      <c r="C36" s="186">
        <f t="shared" si="12"/>
        <v>45448</v>
      </c>
      <c r="D36" s="186">
        <f t="shared" si="12"/>
        <v>45467</v>
      </c>
      <c r="E36" s="52" t="s">
        <v>22</v>
      </c>
      <c r="F36" s="131">
        <v>9</v>
      </c>
      <c r="G36" s="168">
        <v>2970</v>
      </c>
      <c r="H36" s="169">
        <f t="shared" si="5"/>
        <v>9.2845976559737667E-5</v>
      </c>
      <c r="I36" s="169">
        <f t="shared" si="1"/>
        <v>4.7954991262174045E-4</v>
      </c>
      <c r="J36" s="170">
        <f t="shared" si="2"/>
        <v>1.4242632404865692</v>
      </c>
      <c r="K36" s="171">
        <f t="shared" si="13"/>
        <v>0.27575255038242086</v>
      </c>
      <c r="L36" s="172">
        <f t="shared" si="14"/>
        <v>1.1485106901041484</v>
      </c>
      <c r="M36" s="173">
        <f t="shared" si="7"/>
        <v>9.6043509952413314E-2</v>
      </c>
      <c r="N36" s="174">
        <f t="shared" si="8"/>
        <v>1.2445542000565617</v>
      </c>
      <c r="O36" s="173">
        <f t="shared" si="9"/>
        <v>0</v>
      </c>
      <c r="P36" s="173">
        <f t="shared" si="10"/>
        <v>0</v>
      </c>
      <c r="Q36" s="173">
        <v>0</v>
      </c>
      <c r="R36" s="174">
        <f t="shared" si="11"/>
        <v>1.2445542000565617</v>
      </c>
    </row>
    <row r="37" spans="1:18" x14ac:dyDescent="0.25">
      <c r="A37" s="131">
        <v>6</v>
      </c>
      <c r="B37" s="166">
        <f t="shared" si="4"/>
        <v>45444</v>
      </c>
      <c r="C37" s="186">
        <f t="shared" si="12"/>
        <v>45476</v>
      </c>
      <c r="D37" s="186">
        <f t="shared" si="12"/>
        <v>45497</v>
      </c>
      <c r="E37" s="52" t="s">
        <v>22</v>
      </c>
      <c r="F37" s="131">
        <v>9</v>
      </c>
      <c r="G37" s="168">
        <v>3483</v>
      </c>
      <c r="H37" s="169">
        <f t="shared" si="5"/>
        <v>9.2845976559737667E-5</v>
      </c>
      <c r="I37" s="169">
        <f t="shared" si="1"/>
        <v>4.7954991262174045E-4</v>
      </c>
      <c r="J37" s="170">
        <f t="shared" si="2"/>
        <v>1.6702723456615221</v>
      </c>
      <c r="K37" s="171">
        <f t="shared" si="13"/>
        <v>0.32338253635756631</v>
      </c>
      <c r="L37" s="176">
        <f t="shared" si="14"/>
        <v>1.3468898093039559</v>
      </c>
      <c r="M37" s="173">
        <f t="shared" si="7"/>
        <v>0.11263284348964833</v>
      </c>
      <c r="N37" s="174">
        <f t="shared" si="8"/>
        <v>1.4595226527936043</v>
      </c>
      <c r="O37" s="173">
        <f t="shared" si="9"/>
        <v>0</v>
      </c>
      <c r="P37" s="173">
        <f t="shared" si="10"/>
        <v>0</v>
      </c>
      <c r="Q37" s="173">
        <v>0</v>
      </c>
      <c r="R37" s="174">
        <f t="shared" si="11"/>
        <v>1.4595226527936043</v>
      </c>
    </row>
    <row r="38" spans="1:18" x14ac:dyDescent="0.25">
      <c r="A38" s="94">
        <v>7</v>
      </c>
      <c r="B38" s="166">
        <f t="shared" si="4"/>
        <v>45474</v>
      </c>
      <c r="C38" s="186">
        <f t="shared" si="12"/>
        <v>45509</v>
      </c>
      <c r="D38" s="186">
        <f t="shared" si="12"/>
        <v>45530</v>
      </c>
      <c r="E38" s="52" t="s">
        <v>22</v>
      </c>
      <c r="F38" s="131">
        <v>9</v>
      </c>
      <c r="G38" s="168">
        <v>3510</v>
      </c>
      <c r="H38" s="169">
        <f t="shared" si="5"/>
        <v>9.2845976559737667E-5</v>
      </c>
      <c r="I38" s="169">
        <f t="shared" si="1"/>
        <v>4.7954991262174045E-4</v>
      </c>
      <c r="J38" s="170">
        <f t="shared" si="2"/>
        <v>1.683220193302309</v>
      </c>
      <c r="K38" s="177">
        <f t="shared" si="13"/>
        <v>0.32588937772467919</v>
      </c>
      <c r="L38" s="176">
        <f t="shared" si="14"/>
        <v>1.3573308155776298</v>
      </c>
      <c r="M38" s="173">
        <f t="shared" si="7"/>
        <v>0.11350596630739754</v>
      </c>
      <c r="N38" s="174">
        <f t="shared" si="8"/>
        <v>1.4708367818850274</v>
      </c>
      <c r="O38" s="173">
        <f t="shared" si="9"/>
        <v>0</v>
      </c>
      <c r="P38" s="173">
        <f t="shared" si="10"/>
        <v>0</v>
      </c>
      <c r="Q38" s="173">
        <v>0</v>
      </c>
      <c r="R38" s="174">
        <f t="shared" si="11"/>
        <v>1.4708367818850274</v>
      </c>
    </row>
    <row r="39" spans="1:18" x14ac:dyDescent="0.25">
      <c r="A39" s="131">
        <v>8</v>
      </c>
      <c r="B39" s="166">
        <f t="shared" si="4"/>
        <v>45505</v>
      </c>
      <c r="C39" s="186">
        <f t="shared" si="12"/>
        <v>45539</v>
      </c>
      <c r="D39" s="186">
        <f t="shared" si="12"/>
        <v>45559</v>
      </c>
      <c r="E39" s="52" t="s">
        <v>22</v>
      </c>
      <c r="F39" s="131">
        <v>9</v>
      </c>
      <c r="G39" s="168">
        <v>3574</v>
      </c>
      <c r="H39" s="169">
        <f t="shared" si="5"/>
        <v>9.2845976559737667E-5</v>
      </c>
      <c r="I39" s="169">
        <f t="shared" si="1"/>
        <v>4.7954991262174045E-4</v>
      </c>
      <c r="J39" s="170">
        <f t="shared" si="2"/>
        <v>1.7139113877101004</v>
      </c>
      <c r="K39" s="177">
        <f t="shared" si="13"/>
        <v>0.33183152022450241</v>
      </c>
      <c r="L39" s="176">
        <f t="shared" si="14"/>
        <v>1.3820798674855981</v>
      </c>
      <c r="M39" s="173">
        <f t="shared" si="7"/>
        <v>0.11557559076428457</v>
      </c>
      <c r="N39" s="174">
        <f t="shared" si="8"/>
        <v>1.4976554582498827</v>
      </c>
      <c r="O39" s="173">
        <f t="shared" si="9"/>
        <v>0</v>
      </c>
      <c r="P39" s="173">
        <f t="shared" si="10"/>
        <v>0</v>
      </c>
      <c r="Q39" s="173">
        <v>0</v>
      </c>
      <c r="R39" s="174">
        <f t="shared" si="11"/>
        <v>1.4976554582498827</v>
      </c>
    </row>
    <row r="40" spans="1:18" x14ac:dyDescent="0.25">
      <c r="A40" s="131">
        <v>9</v>
      </c>
      <c r="B40" s="166">
        <f t="shared" si="4"/>
        <v>45536</v>
      </c>
      <c r="C40" s="186">
        <f t="shared" si="12"/>
        <v>45568</v>
      </c>
      <c r="D40" s="186">
        <f t="shared" si="12"/>
        <v>45589</v>
      </c>
      <c r="E40" s="52" t="s">
        <v>22</v>
      </c>
      <c r="F40" s="131">
        <v>9</v>
      </c>
      <c r="G40" s="168">
        <v>3188</v>
      </c>
      <c r="H40" s="169">
        <f t="shared" si="5"/>
        <v>9.2845976559737667E-5</v>
      </c>
      <c r="I40" s="169">
        <f t="shared" si="1"/>
        <v>4.7954991262174045E-4</v>
      </c>
      <c r="J40" s="170">
        <f t="shared" si="2"/>
        <v>1.5288051214381086</v>
      </c>
      <c r="K40" s="177">
        <f t="shared" si="13"/>
        <v>0.29599297327244367</v>
      </c>
      <c r="L40" s="176">
        <f t="shared" si="14"/>
        <v>1.2328121481656651</v>
      </c>
      <c r="M40" s="173">
        <f t="shared" si="7"/>
        <v>0.10309316825868471</v>
      </c>
      <c r="N40" s="174">
        <f t="shared" si="8"/>
        <v>1.3359053164243497</v>
      </c>
      <c r="O40" s="173">
        <f t="shared" si="9"/>
        <v>0</v>
      </c>
      <c r="P40" s="173">
        <f t="shared" si="10"/>
        <v>0</v>
      </c>
      <c r="Q40" s="173">
        <v>0</v>
      </c>
      <c r="R40" s="174">
        <f t="shared" si="11"/>
        <v>1.3359053164243497</v>
      </c>
    </row>
    <row r="41" spans="1:18" x14ac:dyDescent="0.25">
      <c r="A41" s="94">
        <v>10</v>
      </c>
      <c r="B41" s="166">
        <f t="shared" si="4"/>
        <v>45566</v>
      </c>
      <c r="C41" s="186">
        <f t="shared" si="12"/>
        <v>45601</v>
      </c>
      <c r="D41" s="186">
        <f t="shared" si="12"/>
        <v>45621</v>
      </c>
      <c r="E41" s="52" t="s">
        <v>22</v>
      </c>
      <c r="F41" s="131">
        <v>9</v>
      </c>
      <c r="G41" s="168">
        <v>2793</v>
      </c>
      <c r="H41" s="169">
        <f t="shared" si="5"/>
        <v>9.2845976559737667E-5</v>
      </c>
      <c r="I41" s="169">
        <f t="shared" si="1"/>
        <v>4.7954991262174045E-4</v>
      </c>
      <c r="J41" s="170">
        <f t="shared" si="2"/>
        <v>1.3393829059525211</v>
      </c>
      <c r="K41" s="177">
        <f t="shared" si="13"/>
        <v>0.25931881253134731</v>
      </c>
      <c r="L41" s="176">
        <f t="shared" si="14"/>
        <v>1.0800640934211738</v>
      </c>
      <c r="M41" s="173">
        <f t="shared" si="7"/>
        <v>9.0319704813835153E-2</v>
      </c>
      <c r="N41" s="174">
        <f t="shared" si="8"/>
        <v>1.1703837982350089</v>
      </c>
      <c r="O41" s="173">
        <f t="shared" si="9"/>
        <v>0</v>
      </c>
      <c r="P41" s="173">
        <f t="shared" si="10"/>
        <v>0</v>
      </c>
      <c r="Q41" s="173">
        <v>0</v>
      </c>
      <c r="R41" s="174">
        <f t="shared" si="11"/>
        <v>1.1703837982350089</v>
      </c>
    </row>
    <row r="42" spans="1:18" x14ac:dyDescent="0.25">
      <c r="A42" s="131">
        <v>11</v>
      </c>
      <c r="B42" s="166">
        <f t="shared" si="4"/>
        <v>45597</v>
      </c>
      <c r="C42" s="186">
        <f t="shared" si="12"/>
        <v>45630</v>
      </c>
      <c r="D42" s="186">
        <f t="shared" si="12"/>
        <v>45650</v>
      </c>
      <c r="E42" s="52" t="s">
        <v>22</v>
      </c>
      <c r="F42" s="131">
        <v>9</v>
      </c>
      <c r="G42" s="168">
        <v>2339</v>
      </c>
      <c r="H42" s="169">
        <f t="shared" si="5"/>
        <v>9.2845976559737667E-5</v>
      </c>
      <c r="I42" s="169">
        <f t="shared" si="1"/>
        <v>4.7954991262174045E-4</v>
      </c>
      <c r="J42" s="170">
        <f t="shared" si="2"/>
        <v>1.121667245622251</v>
      </c>
      <c r="K42" s="177">
        <f t="shared" si="13"/>
        <v>0.2171667391732264</v>
      </c>
      <c r="L42" s="176">
        <f t="shared" si="14"/>
        <v>0.90450050644902458</v>
      </c>
      <c r="M42" s="173">
        <f t="shared" si="7"/>
        <v>7.5638306322792837E-2</v>
      </c>
      <c r="N42" s="174">
        <f t="shared" si="8"/>
        <v>0.98013881277181736</v>
      </c>
      <c r="O42" s="173">
        <f t="shared" si="9"/>
        <v>0</v>
      </c>
      <c r="P42" s="173">
        <f t="shared" si="10"/>
        <v>0</v>
      </c>
      <c r="Q42" s="173">
        <v>0</v>
      </c>
      <c r="R42" s="174">
        <f t="shared" si="11"/>
        <v>0.98013881277181736</v>
      </c>
    </row>
    <row r="43" spans="1:18" x14ac:dyDescent="0.25">
      <c r="A43" s="131">
        <v>12</v>
      </c>
      <c r="B43" s="166">
        <f t="shared" si="4"/>
        <v>45627</v>
      </c>
      <c r="C43" s="186">
        <f t="shared" si="12"/>
        <v>45660</v>
      </c>
      <c r="D43" s="186">
        <f t="shared" si="12"/>
        <v>45681</v>
      </c>
      <c r="E43" s="52" t="s">
        <v>22</v>
      </c>
      <c r="F43" s="131">
        <v>9</v>
      </c>
      <c r="G43" s="168">
        <v>2520</v>
      </c>
      <c r="H43" s="178">
        <f t="shared" si="5"/>
        <v>9.2845976559737667E-5</v>
      </c>
      <c r="I43" s="178">
        <f t="shared" si="1"/>
        <v>4.7954991262174045E-4</v>
      </c>
      <c r="J43" s="179">
        <f t="shared" si="2"/>
        <v>1.2084657798067859</v>
      </c>
      <c r="K43" s="180">
        <f t="shared" si="13"/>
        <v>0.23397186093053893</v>
      </c>
      <c r="L43" s="181">
        <f t="shared" si="14"/>
        <v>0.97449391887624703</v>
      </c>
      <c r="M43" s="173">
        <f t="shared" si="7"/>
        <v>8.1491462989926447E-2</v>
      </c>
      <c r="N43" s="174">
        <f t="shared" si="8"/>
        <v>1.0559853818661735</v>
      </c>
      <c r="O43" s="173">
        <f t="shared" si="9"/>
        <v>0</v>
      </c>
      <c r="P43" s="173">
        <f t="shared" si="10"/>
        <v>0</v>
      </c>
      <c r="Q43" s="173">
        <v>0</v>
      </c>
      <c r="R43" s="174">
        <f t="shared" si="11"/>
        <v>1.0559853818661735</v>
      </c>
    </row>
    <row r="44" spans="1:18" x14ac:dyDescent="0.25">
      <c r="A44" s="94">
        <v>1</v>
      </c>
      <c r="B44" s="182">
        <f t="shared" ref="B44:B55" si="15">DATE($R$1,A44,1)</f>
        <v>45292</v>
      </c>
      <c r="C44" s="183">
        <f t="shared" ref="C44:D55" si="16">+C32</f>
        <v>45327</v>
      </c>
      <c r="D44" s="183">
        <f t="shared" si="16"/>
        <v>45348</v>
      </c>
      <c r="E44" s="184" t="s">
        <v>82</v>
      </c>
      <c r="F44" s="185">
        <v>9</v>
      </c>
      <c r="G44" s="168">
        <v>216</v>
      </c>
      <c r="H44" s="169">
        <f>+$K$3</f>
        <v>9.2845976559737667E-5</v>
      </c>
      <c r="I44" s="169">
        <f t="shared" si="1"/>
        <v>4.7954991262174045E-4</v>
      </c>
      <c r="J44" s="173">
        <f t="shared" ref="J44:J55" si="17">+$G44*I44</f>
        <v>0.10358278112629593</v>
      </c>
      <c r="K44" s="177">
        <f t="shared" ref="K44:K55" si="18">+$G44*H44</f>
        <v>2.0054730936903336E-2</v>
      </c>
      <c r="L44" s="176">
        <f t="shared" ref="L44:L55" si="19">+J44-K44</f>
        <v>8.3528050189392591E-2</v>
      </c>
      <c r="M44" s="173">
        <f t="shared" si="7"/>
        <v>6.9849825419936963E-3</v>
      </c>
      <c r="N44" s="174">
        <f t="shared" si="8"/>
        <v>9.0513032731386292E-2</v>
      </c>
      <c r="O44" s="173">
        <f t="shared" si="9"/>
        <v>0</v>
      </c>
      <c r="P44" s="173">
        <f t="shared" si="10"/>
        <v>0</v>
      </c>
      <c r="Q44" s="173">
        <v>0</v>
      </c>
      <c r="R44" s="174">
        <f t="shared" si="11"/>
        <v>9.0513032731386292E-2</v>
      </c>
    </row>
    <row r="45" spans="1:18" x14ac:dyDescent="0.25">
      <c r="A45" s="131">
        <v>2</v>
      </c>
      <c r="B45" s="166">
        <f t="shared" si="15"/>
        <v>45323</v>
      </c>
      <c r="C45" s="186">
        <f t="shared" si="16"/>
        <v>45356</v>
      </c>
      <c r="D45" s="186">
        <f t="shared" si="16"/>
        <v>45376</v>
      </c>
      <c r="E45" s="175" t="s">
        <v>82</v>
      </c>
      <c r="F45" s="131">
        <v>9</v>
      </c>
      <c r="G45" s="168">
        <v>146</v>
      </c>
      <c r="H45" s="169">
        <f t="shared" si="5"/>
        <v>9.2845976559737667E-5</v>
      </c>
      <c r="I45" s="169">
        <f t="shared" si="1"/>
        <v>4.7954991262174045E-4</v>
      </c>
      <c r="J45" s="173">
        <f t="shared" si="17"/>
        <v>7.0014287242774101E-2</v>
      </c>
      <c r="K45" s="177">
        <f t="shared" si="18"/>
        <v>1.3555512577721699E-2</v>
      </c>
      <c r="L45" s="176">
        <f t="shared" si="19"/>
        <v>5.6458774665052405E-2</v>
      </c>
      <c r="M45" s="173">
        <f t="shared" si="7"/>
        <v>4.721330792273516E-3</v>
      </c>
      <c r="N45" s="174">
        <f t="shared" si="8"/>
        <v>6.1180105457325919E-2</v>
      </c>
      <c r="O45" s="173">
        <f t="shared" si="9"/>
        <v>0</v>
      </c>
      <c r="P45" s="173">
        <f t="shared" si="10"/>
        <v>0</v>
      </c>
      <c r="Q45" s="173">
        <v>0</v>
      </c>
      <c r="R45" s="174">
        <f t="shared" si="11"/>
        <v>6.1180105457325919E-2</v>
      </c>
    </row>
    <row r="46" spans="1:18" x14ac:dyDescent="0.25">
      <c r="A46" s="131">
        <v>3</v>
      </c>
      <c r="B46" s="166">
        <f t="shared" si="15"/>
        <v>45352</v>
      </c>
      <c r="C46" s="186">
        <f t="shared" si="16"/>
        <v>45385</v>
      </c>
      <c r="D46" s="186">
        <f t="shared" si="16"/>
        <v>45406</v>
      </c>
      <c r="E46" s="175" t="s">
        <v>82</v>
      </c>
      <c r="F46" s="131">
        <v>9</v>
      </c>
      <c r="G46" s="168">
        <v>113</v>
      </c>
      <c r="H46" s="169">
        <f t="shared" si="5"/>
        <v>9.2845976559737667E-5</v>
      </c>
      <c r="I46" s="169">
        <f t="shared" si="1"/>
        <v>4.7954991262174045E-4</v>
      </c>
      <c r="J46" s="173">
        <f t="shared" si="17"/>
        <v>5.4189140126256669E-2</v>
      </c>
      <c r="K46" s="177">
        <f t="shared" si="18"/>
        <v>1.0491595351250356E-2</v>
      </c>
      <c r="L46" s="176">
        <f t="shared" si="19"/>
        <v>4.3697544775006314E-2</v>
      </c>
      <c r="M46" s="173">
        <f t="shared" si="7"/>
        <v>3.6541806816911457E-3</v>
      </c>
      <c r="N46" s="174">
        <f t="shared" si="8"/>
        <v>4.7351725456697462E-2</v>
      </c>
      <c r="O46" s="173">
        <f t="shared" si="9"/>
        <v>0</v>
      </c>
      <c r="P46" s="173">
        <f t="shared" si="10"/>
        <v>0</v>
      </c>
      <c r="Q46" s="173">
        <v>0</v>
      </c>
      <c r="R46" s="174">
        <f t="shared" si="11"/>
        <v>4.7351725456697462E-2</v>
      </c>
    </row>
    <row r="47" spans="1:18" x14ac:dyDescent="0.25">
      <c r="A47" s="94">
        <v>4</v>
      </c>
      <c r="B47" s="166">
        <f t="shared" si="15"/>
        <v>45383</v>
      </c>
      <c r="C47" s="186">
        <f t="shared" si="16"/>
        <v>45415</v>
      </c>
      <c r="D47" s="186">
        <f t="shared" si="16"/>
        <v>45436</v>
      </c>
      <c r="E47" s="175" t="s">
        <v>82</v>
      </c>
      <c r="F47" s="131">
        <v>9</v>
      </c>
      <c r="G47" s="168">
        <v>76</v>
      </c>
      <c r="H47" s="169">
        <f t="shared" si="5"/>
        <v>9.2845976559737667E-5</v>
      </c>
      <c r="I47" s="169">
        <f t="shared" si="1"/>
        <v>4.7954991262174045E-4</v>
      </c>
      <c r="J47" s="173">
        <f t="shared" si="17"/>
        <v>3.6445793359252271E-2</v>
      </c>
      <c r="K47" s="177">
        <f t="shared" si="18"/>
        <v>7.0562942185400631E-3</v>
      </c>
      <c r="L47" s="176">
        <f t="shared" si="19"/>
        <v>2.9389499140712209E-2</v>
      </c>
      <c r="M47" s="173">
        <f t="shared" si="7"/>
        <v>2.4576790425533375E-3</v>
      </c>
      <c r="N47" s="174">
        <f t="shared" si="8"/>
        <v>3.1847178183265545E-2</v>
      </c>
      <c r="O47" s="173">
        <f t="shared" si="9"/>
        <v>0</v>
      </c>
      <c r="P47" s="173">
        <f t="shared" si="10"/>
        <v>0</v>
      </c>
      <c r="Q47" s="173">
        <v>0</v>
      </c>
      <c r="R47" s="174">
        <f t="shared" si="11"/>
        <v>3.1847178183265545E-2</v>
      </c>
    </row>
    <row r="48" spans="1:18" x14ac:dyDescent="0.25">
      <c r="A48" s="131">
        <v>5</v>
      </c>
      <c r="B48" s="166">
        <f t="shared" si="15"/>
        <v>45413</v>
      </c>
      <c r="C48" s="186">
        <f t="shared" si="16"/>
        <v>45448</v>
      </c>
      <c r="D48" s="186">
        <f t="shared" si="16"/>
        <v>45467</v>
      </c>
      <c r="E48" s="175" t="s">
        <v>82</v>
      </c>
      <c r="F48" s="131">
        <v>9</v>
      </c>
      <c r="G48" s="168">
        <v>120</v>
      </c>
      <c r="H48" s="169">
        <f t="shared" si="5"/>
        <v>9.2845976559737667E-5</v>
      </c>
      <c r="I48" s="169">
        <f t="shared" si="1"/>
        <v>4.7954991262174045E-4</v>
      </c>
      <c r="J48" s="173">
        <f t="shared" si="17"/>
        <v>5.7545989514608854E-2</v>
      </c>
      <c r="K48" s="177">
        <f t="shared" si="18"/>
        <v>1.114151718716852E-2</v>
      </c>
      <c r="L48" s="176">
        <f t="shared" si="19"/>
        <v>4.6404472327440334E-2</v>
      </c>
      <c r="M48" s="173">
        <f t="shared" si="7"/>
        <v>3.880545856663164E-3</v>
      </c>
      <c r="N48" s="174">
        <f t="shared" si="8"/>
        <v>5.0285018184103497E-2</v>
      </c>
      <c r="O48" s="173">
        <f t="shared" si="9"/>
        <v>0</v>
      </c>
      <c r="P48" s="173">
        <f t="shared" si="10"/>
        <v>0</v>
      </c>
      <c r="Q48" s="173">
        <v>0</v>
      </c>
      <c r="R48" s="174">
        <f t="shared" si="11"/>
        <v>5.0285018184103497E-2</v>
      </c>
    </row>
    <row r="49" spans="1:18" x14ac:dyDescent="0.25">
      <c r="A49" s="131">
        <v>6</v>
      </c>
      <c r="B49" s="166">
        <f t="shared" si="15"/>
        <v>45444</v>
      </c>
      <c r="C49" s="186">
        <f t="shared" si="16"/>
        <v>45476</v>
      </c>
      <c r="D49" s="186">
        <f t="shared" si="16"/>
        <v>45497</v>
      </c>
      <c r="E49" s="175" t="s">
        <v>82</v>
      </c>
      <c r="F49" s="131">
        <v>9</v>
      </c>
      <c r="G49" s="168">
        <v>147</v>
      </c>
      <c r="H49" s="169">
        <f t="shared" si="5"/>
        <v>9.2845976559737667E-5</v>
      </c>
      <c r="I49" s="169">
        <f t="shared" si="1"/>
        <v>4.7954991262174045E-4</v>
      </c>
      <c r="J49" s="173">
        <f t="shared" si="17"/>
        <v>7.0493837155395853E-2</v>
      </c>
      <c r="K49" s="177">
        <f t="shared" si="18"/>
        <v>1.3648358554281438E-2</v>
      </c>
      <c r="L49" s="176">
        <f t="shared" si="19"/>
        <v>5.6845478601114413E-2</v>
      </c>
      <c r="M49" s="173">
        <f t="shared" si="7"/>
        <v>4.7536686744123757E-3</v>
      </c>
      <c r="N49" s="174">
        <f t="shared" si="8"/>
        <v>6.1599147275526789E-2</v>
      </c>
      <c r="O49" s="173">
        <f t="shared" si="9"/>
        <v>0</v>
      </c>
      <c r="P49" s="173">
        <f t="shared" si="10"/>
        <v>0</v>
      </c>
      <c r="Q49" s="173">
        <v>0</v>
      </c>
      <c r="R49" s="174">
        <f t="shared" si="11"/>
        <v>6.1599147275526789E-2</v>
      </c>
    </row>
    <row r="50" spans="1:18" x14ac:dyDescent="0.25">
      <c r="A50" s="94">
        <v>7</v>
      </c>
      <c r="B50" s="166">
        <f t="shared" si="15"/>
        <v>45474</v>
      </c>
      <c r="C50" s="186">
        <f t="shared" si="16"/>
        <v>45509</v>
      </c>
      <c r="D50" s="186">
        <f t="shared" si="16"/>
        <v>45530</v>
      </c>
      <c r="E50" s="175" t="s">
        <v>82</v>
      </c>
      <c r="F50" s="131">
        <v>9</v>
      </c>
      <c r="G50" s="168">
        <v>155</v>
      </c>
      <c r="H50" s="169">
        <f t="shared" si="5"/>
        <v>9.2845976559737667E-5</v>
      </c>
      <c r="I50" s="169">
        <f t="shared" si="1"/>
        <v>4.7954991262174045E-4</v>
      </c>
      <c r="J50" s="173">
        <f t="shared" si="17"/>
        <v>7.4330236456369769E-2</v>
      </c>
      <c r="K50" s="177">
        <f t="shared" si="18"/>
        <v>1.4391126366759339E-2</v>
      </c>
      <c r="L50" s="176">
        <f t="shared" si="19"/>
        <v>5.9939110089610434E-2</v>
      </c>
      <c r="M50" s="173">
        <f t="shared" si="7"/>
        <v>5.0123717315232533E-3</v>
      </c>
      <c r="N50" s="174">
        <f t="shared" si="8"/>
        <v>6.4951481821133694E-2</v>
      </c>
      <c r="O50" s="173">
        <f t="shared" si="9"/>
        <v>0</v>
      </c>
      <c r="P50" s="173">
        <f t="shared" si="10"/>
        <v>0</v>
      </c>
      <c r="Q50" s="173">
        <v>0</v>
      </c>
      <c r="R50" s="174">
        <f t="shared" si="11"/>
        <v>6.4951481821133694E-2</v>
      </c>
    </row>
    <row r="51" spans="1:18" x14ac:dyDescent="0.25">
      <c r="A51" s="131">
        <v>8</v>
      </c>
      <c r="B51" s="166">
        <f t="shared" si="15"/>
        <v>45505</v>
      </c>
      <c r="C51" s="186">
        <f t="shared" si="16"/>
        <v>45539</v>
      </c>
      <c r="D51" s="186">
        <f t="shared" si="16"/>
        <v>45559</v>
      </c>
      <c r="E51" s="175" t="s">
        <v>82</v>
      </c>
      <c r="F51" s="131">
        <v>9</v>
      </c>
      <c r="G51" s="168">
        <v>157</v>
      </c>
      <c r="H51" s="169">
        <f t="shared" si="5"/>
        <v>9.2845976559737667E-5</v>
      </c>
      <c r="I51" s="169">
        <f t="shared" si="1"/>
        <v>4.7954991262174045E-4</v>
      </c>
      <c r="J51" s="173">
        <f t="shared" si="17"/>
        <v>7.5289336281613245E-2</v>
      </c>
      <c r="K51" s="177">
        <f t="shared" si="18"/>
        <v>1.4576818319878814E-2</v>
      </c>
      <c r="L51" s="176">
        <f t="shared" si="19"/>
        <v>6.0712517961734429E-2</v>
      </c>
      <c r="M51" s="173">
        <f t="shared" si="7"/>
        <v>5.0770474958009727E-3</v>
      </c>
      <c r="N51" s="174">
        <f t="shared" si="8"/>
        <v>6.5789565457535407E-2</v>
      </c>
      <c r="O51" s="173">
        <f t="shared" si="9"/>
        <v>0</v>
      </c>
      <c r="P51" s="173">
        <f t="shared" si="10"/>
        <v>0</v>
      </c>
      <c r="Q51" s="173">
        <v>0</v>
      </c>
      <c r="R51" s="174">
        <f t="shared" si="11"/>
        <v>6.5789565457535407E-2</v>
      </c>
    </row>
    <row r="52" spans="1:18" x14ac:dyDescent="0.25">
      <c r="A52" s="131">
        <v>9</v>
      </c>
      <c r="B52" s="166">
        <f t="shared" si="15"/>
        <v>45536</v>
      </c>
      <c r="C52" s="186">
        <f t="shared" si="16"/>
        <v>45568</v>
      </c>
      <c r="D52" s="186">
        <f t="shared" si="16"/>
        <v>45589</v>
      </c>
      <c r="E52" s="175" t="s">
        <v>82</v>
      </c>
      <c r="F52" s="131">
        <v>9</v>
      </c>
      <c r="G52" s="168">
        <v>126</v>
      </c>
      <c r="H52" s="169">
        <f t="shared" si="5"/>
        <v>9.2845976559737667E-5</v>
      </c>
      <c r="I52" s="169">
        <f t="shared" si="1"/>
        <v>4.7954991262174045E-4</v>
      </c>
      <c r="J52" s="173">
        <f t="shared" si="17"/>
        <v>6.0423288990339295E-2</v>
      </c>
      <c r="K52" s="177">
        <f t="shared" si="18"/>
        <v>1.1698593046526946E-2</v>
      </c>
      <c r="L52" s="176">
        <f t="shared" si="19"/>
        <v>4.8724695943812346E-2</v>
      </c>
      <c r="M52" s="173">
        <f t="shared" si="7"/>
        <v>4.0745731494963222E-3</v>
      </c>
      <c r="N52" s="174">
        <f t="shared" si="8"/>
        <v>5.2799269093308669E-2</v>
      </c>
      <c r="O52" s="173">
        <f t="shared" si="9"/>
        <v>0</v>
      </c>
      <c r="P52" s="173">
        <f t="shared" si="10"/>
        <v>0</v>
      </c>
      <c r="Q52" s="173">
        <v>0</v>
      </c>
      <c r="R52" s="174">
        <f t="shared" si="11"/>
        <v>5.2799269093308669E-2</v>
      </c>
    </row>
    <row r="53" spans="1:18" x14ac:dyDescent="0.25">
      <c r="A53" s="94">
        <v>10</v>
      </c>
      <c r="B53" s="166">
        <f t="shared" si="15"/>
        <v>45566</v>
      </c>
      <c r="C53" s="186">
        <f t="shared" si="16"/>
        <v>45601</v>
      </c>
      <c r="D53" s="186">
        <f t="shared" si="16"/>
        <v>45621</v>
      </c>
      <c r="E53" s="175" t="s">
        <v>82</v>
      </c>
      <c r="F53" s="131">
        <v>9</v>
      </c>
      <c r="G53" s="168">
        <v>112</v>
      </c>
      <c r="H53" s="169">
        <f t="shared" si="5"/>
        <v>9.2845976559737667E-5</v>
      </c>
      <c r="I53" s="169">
        <f t="shared" si="1"/>
        <v>4.7954991262174045E-4</v>
      </c>
      <c r="J53" s="173">
        <f t="shared" si="17"/>
        <v>5.3709590213634931E-2</v>
      </c>
      <c r="K53" s="177">
        <f t="shared" si="18"/>
        <v>1.0398749374690619E-2</v>
      </c>
      <c r="L53" s="176">
        <f t="shared" si="19"/>
        <v>4.3310840838944313E-2</v>
      </c>
      <c r="M53" s="173">
        <f t="shared" si="7"/>
        <v>3.6218427995522865E-3</v>
      </c>
      <c r="N53" s="174">
        <f t="shared" si="8"/>
        <v>4.6932683638496599E-2</v>
      </c>
      <c r="O53" s="173">
        <f t="shared" si="9"/>
        <v>0</v>
      </c>
      <c r="P53" s="173">
        <f t="shared" si="10"/>
        <v>0</v>
      </c>
      <c r="Q53" s="173">
        <v>0</v>
      </c>
      <c r="R53" s="174">
        <f t="shared" si="11"/>
        <v>4.6932683638496599E-2</v>
      </c>
    </row>
    <row r="54" spans="1:18" x14ac:dyDescent="0.25">
      <c r="A54" s="131">
        <v>11</v>
      </c>
      <c r="B54" s="166">
        <f t="shared" si="15"/>
        <v>45597</v>
      </c>
      <c r="C54" s="186">
        <f t="shared" si="16"/>
        <v>45630</v>
      </c>
      <c r="D54" s="186">
        <f t="shared" si="16"/>
        <v>45650</v>
      </c>
      <c r="E54" s="175" t="s">
        <v>82</v>
      </c>
      <c r="F54" s="131">
        <v>9</v>
      </c>
      <c r="G54" s="168">
        <v>93</v>
      </c>
      <c r="H54" s="169">
        <f t="shared" si="5"/>
        <v>9.2845976559737667E-5</v>
      </c>
      <c r="I54" s="169">
        <f t="shared" si="1"/>
        <v>4.7954991262174045E-4</v>
      </c>
      <c r="J54" s="173">
        <f t="shared" si="17"/>
        <v>4.4598141873821863E-2</v>
      </c>
      <c r="K54" s="177">
        <f t="shared" si="18"/>
        <v>8.6346758200556029E-3</v>
      </c>
      <c r="L54" s="176">
        <f t="shared" si="19"/>
        <v>3.5963466053766262E-2</v>
      </c>
      <c r="M54" s="173">
        <f t="shared" si="7"/>
        <v>3.0074230389139519E-3</v>
      </c>
      <c r="N54" s="174">
        <f t="shared" si="8"/>
        <v>3.8970889092680212E-2</v>
      </c>
      <c r="O54" s="173">
        <f t="shared" si="9"/>
        <v>0</v>
      </c>
      <c r="P54" s="173">
        <f t="shared" si="10"/>
        <v>0</v>
      </c>
      <c r="Q54" s="173">
        <v>0</v>
      </c>
      <c r="R54" s="174">
        <f t="shared" si="11"/>
        <v>3.8970889092680212E-2</v>
      </c>
    </row>
    <row r="55" spans="1:18" x14ac:dyDescent="0.25">
      <c r="A55" s="131">
        <v>12</v>
      </c>
      <c r="B55" s="166">
        <f t="shared" si="15"/>
        <v>45627</v>
      </c>
      <c r="C55" s="186">
        <f t="shared" si="16"/>
        <v>45660</v>
      </c>
      <c r="D55" s="186">
        <f t="shared" si="16"/>
        <v>45681</v>
      </c>
      <c r="E55" s="175" t="s">
        <v>82</v>
      </c>
      <c r="F55" s="131">
        <v>9</v>
      </c>
      <c r="G55" s="168">
        <v>128</v>
      </c>
      <c r="H55" s="178">
        <f t="shared" si="5"/>
        <v>9.2845976559737667E-5</v>
      </c>
      <c r="I55" s="178">
        <f t="shared" si="1"/>
        <v>4.7954991262174045E-4</v>
      </c>
      <c r="J55" s="179">
        <f t="shared" si="17"/>
        <v>6.1382388815582778E-2</v>
      </c>
      <c r="K55" s="180">
        <f t="shared" si="18"/>
        <v>1.1884284999646421E-2</v>
      </c>
      <c r="L55" s="181">
        <f t="shared" si="19"/>
        <v>4.9498103815936355E-2</v>
      </c>
      <c r="M55" s="173">
        <f t="shared" si="7"/>
        <v>4.1392489137740416E-3</v>
      </c>
      <c r="N55" s="174">
        <f t="shared" si="8"/>
        <v>5.3637352729710396E-2</v>
      </c>
      <c r="O55" s="173">
        <f t="shared" si="9"/>
        <v>0</v>
      </c>
      <c r="P55" s="173">
        <f t="shared" si="10"/>
        <v>0</v>
      </c>
      <c r="Q55" s="173">
        <v>0</v>
      </c>
      <c r="R55" s="174">
        <f t="shared" si="11"/>
        <v>5.3637352729710396E-2</v>
      </c>
    </row>
    <row r="56" spans="1:18" s="187" customFormat="1" x14ac:dyDescent="0.25">
      <c r="A56" s="94">
        <v>1</v>
      </c>
      <c r="B56" s="182">
        <f t="shared" si="4"/>
        <v>45292</v>
      </c>
      <c r="C56" s="183">
        <f t="shared" ref="C56:D67" si="20">+C32</f>
        <v>45327</v>
      </c>
      <c r="D56" s="183">
        <f t="shared" si="20"/>
        <v>45348</v>
      </c>
      <c r="E56" s="184" t="s">
        <v>14</v>
      </c>
      <c r="F56" s="185">
        <v>9</v>
      </c>
      <c r="G56" s="168">
        <v>1129</v>
      </c>
      <c r="H56" s="169">
        <f>+$K$3</f>
        <v>9.2845976559737667E-5</v>
      </c>
      <c r="I56" s="169">
        <f t="shared" si="1"/>
        <v>4.7954991262174045E-4</v>
      </c>
      <c r="J56" s="170">
        <f t="shared" si="2"/>
        <v>0.54141185134994496</v>
      </c>
      <c r="K56" s="171">
        <f t="shared" si="13"/>
        <v>0.10482310753594383</v>
      </c>
      <c r="L56" s="172">
        <f t="shared" si="14"/>
        <v>0.43658874381400115</v>
      </c>
      <c r="M56" s="173">
        <f t="shared" si="7"/>
        <v>3.6509468934772603E-2</v>
      </c>
      <c r="N56" s="174">
        <f t="shared" si="8"/>
        <v>0.47309821274877373</v>
      </c>
      <c r="O56" s="173">
        <f t="shared" si="9"/>
        <v>0</v>
      </c>
      <c r="P56" s="173">
        <f t="shared" si="10"/>
        <v>0</v>
      </c>
      <c r="Q56" s="173">
        <v>0</v>
      </c>
      <c r="R56" s="174">
        <f t="shared" si="11"/>
        <v>0.47309821274877373</v>
      </c>
    </row>
    <row r="57" spans="1:18" x14ac:dyDescent="0.25">
      <c r="A57" s="131">
        <v>2</v>
      </c>
      <c r="B57" s="166">
        <f t="shared" si="4"/>
        <v>45323</v>
      </c>
      <c r="C57" s="186">
        <f t="shared" si="20"/>
        <v>45356</v>
      </c>
      <c r="D57" s="186">
        <f t="shared" si="20"/>
        <v>45376</v>
      </c>
      <c r="E57" s="175" t="s">
        <v>14</v>
      </c>
      <c r="F57" s="131">
        <v>9</v>
      </c>
      <c r="G57" s="168">
        <v>739</v>
      </c>
      <c r="H57" s="169">
        <f t="shared" si="5"/>
        <v>9.2845976559737667E-5</v>
      </c>
      <c r="I57" s="169">
        <f t="shared" si="1"/>
        <v>4.7954991262174045E-4</v>
      </c>
      <c r="J57" s="170">
        <f t="shared" si="2"/>
        <v>0.35438738542746617</v>
      </c>
      <c r="K57" s="171">
        <f t="shared" si="13"/>
        <v>6.8613176677646132E-2</v>
      </c>
      <c r="L57" s="172">
        <f t="shared" si="14"/>
        <v>0.28577420874982007</v>
      </c>
      <c r="M57" s="173">
        <f t="shared" si="7"/>
        <v>2.3897694900617317E-2</v>
      </c>
      <c r="N57" s="174">
        <f t="shared" si="8"/>
        <v>0.3096719036504374</v>
      </c>
      <c r="O57" s="173">
        <f t="shared" si="9"/>
        <v>0</v>
      </c>
      <c r="P57" s="173">
        <f t="shared" si="10"/>
        <v>0</v>
      </c>
      <c r="Q57" s="173">
        <v>0</v>
      </c>
      <c r="R57" s="174">
        <f t="shared" si="11"/>
        <v>0.3096719036504374</v>
      </c>
    </row>
    <row r="58" spans="1:18" x14ac:dyDescent="0.25">
      <c r="A58" s="131">
        <v>3</v>
      </c>
      <c r="B58" s="166">
        <f t="shared" si="4"/>
        <v>45352</v>
      </c>
      <c r="C58" s="186">
        <f t="shared" si="20"/>
        <v>45385</v>
      </c>
      <c r="D58" s="186">
        <f t="shared" si="20"/>
        <v>45406</v>
      </c>
      <c r="E58" s="175" t="s">
        <v>14</v>
      </c>
      <c r="F58" s="131">
        <v>9</v>
      </c>
      <c r="G58" s="168">
        <v>642</v>
      </c>
      <c r="H58" s="169">
        <f t="shared" si="5"/>
        <v>9.2845976559737667E-5</v>
      </c>
      <c r="I58" s="169">
        <f t="shared" si="1"/>
        <v>4.7954991262174045E-4</v>
      </c>
      <c r="J58" s="170">
        <f t="shared" si="2"/>
        <v>0.30787104390315739</v>
      </c>
      <c r="K58" s="171">
        <f t="shared" si="13"/>
        <v>5.9607116951351583E-2</v>
      </c>
      <c r="L58" s="172">
        <f>+J58-K58</f>
        <v>0.24826392695180582</v>
      </c>
      <c r="M58" s="173">
        <f t="shared" si="7"/>
        <v>2.0760920333147928E-2</v>
      </c>
      <c r="N58" s="174">
        <f t="shared" si="8"/>
        <v>0.26902484728495374</v>
      </c>
      <c r="O58" s="173">
        <f t="shared" si="9"/>
        <v>0</v>
      </c>
      <c r="P58" s="173">
        <f t="shared" si="10"/>
        <v>0</v>
      </c>
      <c r="Q58" s="173">
        <v>0</v>
      </c>
      <c r="R58" s="174">
        <f t="shared" si="11"/>
        <v>0.26902484728495374</v>
      </c>
    </row>
    <row r="59" spans="1:18" x14ac:dyDescent="0.25">
      <c r="A59" s="94">
        <v>4</v>
      </c>
      <c r="B59" s="166">
        <f t="shared" si="4"/>
        <v>45383</v>
      </c>
      <c r="C59" s="186">
        <f t="shared" si="20"/>
        <v>45415</v>
      </c>
      <c r="D59" s="186">
        <f t="shared" si="20"/>
        <v>45436</v>
      </c>
      <c r="E59" s="175" t="s">
        <v>14</v>
      </c>
      <c r="F59" s="131">
        <v>9</v>
      </c>
      <c r="G59" s="168">
        <v>581</v>
      </c>
      <c r="H59" s="169">
        <f t="shared" si="5"/>
        <v>9.2845976559737667E-5</v>
      </c>
      <c r="I59" s="169">
        <f t="shared" si="1"/>
        <v>4.7954991262174045E-4</v>
      </c>
      <c r="J59" s="170">
        <f t="shared" si="2"/>
        <v>0.27861849923323118</v>
      </c>
      <c r="K59" s="171">
        <f t="shared" si="13"/>
        <v>5.3943512381207585E-2</v>
      </c>
      <c r="L59" s="172">
        <f t="shared" ref="L59:L81" si="21">+J59-K59</f>
        <v>0.22467498685202358</v>
      </c>
      <c r="M59" s="173">
        <f t="shared" si="7"/>
        <v>1.8788309522677488E-2</v>
      </c>
      <c r="N59" s="174">
        <f t="shared" si="8"/>
        <v>0.24346329637470107</v>
      </c>
      <c r="O59" s="173">
        <f t="shared" si="9"/>
        <v>0</v>
      </c>
      <c r="P59" s="173">
        <f t="shared" si="10"/>
        <v>0</v>
      </c>
      <c r="Q59" s="173">
        <v>0</v>
      </c>
      <c r="R59" s="174">
        <f t="shared" si="11"/>
        <v>0.24346329637470107</v>
      </c>
    </row>
    <row r="60" spans="1:18" x14ac:dyDescent="0.25">
      <c r="A60" s="131">
        <v>5</v>
      </c>
      <c r="B60" s="166">
        <f t="shared" si="4"/>
        <v>45413</v>
      </c>
      <c r="C60" s="186">
        <f t="shared" si="20"/>
        <v>45448</v>
      </c>
      <c r="D60" s="186">
        <f t="shared" si="20"/>
        <v>45467</v>
      </c>
      <c r="E60" s="52" t="s">
        <v>14</v>
      </c>
      <c r="F60" s="131">
        <v>9</v>
      </c>
      <c r="G60" s="168">
        <v>753</v>
      </c>
      <c r="H60" s="169">
        <f t="shared" si="5"/>
        <v>9.2845976559737667E-5</v>
      </c>
      <c r="I60" s="169">
        <f t="shared" si="1"/>
        <v>4.7954991262174045E-4</v>
      </c>
      <c r="J60" s="170">
        <f t="shared" si="2"/>
        <v>0.36110108420417059</v>
      </c>
      <c r="K60" s="171">
        <f t="shared" si="13"/>
        <v>6.9913020349482463E-2</v>
      </c>
      <c r="L60" s="172">
        <f t="shared" si="21"/>
        <v>0.2911880638546881</v>
      </c>
      <c r="M60" s="173">
        <f t="shared" si="7"/>
        <v>2.4350425250561355E-2</v>
      </c>
      <c r="N60" s="174">
        <f t="shared" si="8"/>
        <v>0.31553848910524945</v>
      </c>
      <c r="O60" s="173">
        <f t="shared" si="9"/>
        <v>0</v>
      </c>
      <c r="P60" s="173">
        <f t="shared" si="10"/>
        <v>0</v>
      </c>
      <c r="Q60" s="173">
        <v>0</v>
      </c>
      <c r="R60" s="174">
        <f t="shared" si="11"/>
        <v>0.31553848910524945</v>
      </c>
    </row>
    <row r="61" spans="1:18" x14ac:dyDescent="0.25">
      <c r="A61" s="131">
        <v>6</v>
      </c>
      <c r="B61" s="166">
        <f t="shared" si="4"/>
        <v>45444</v>
      </c>
      <c r="C61" s="186">
        <f t="shared" si="20"/>
        <v>45476</v>
      </c>
      <c r="D61" s="186">
        <f t="shared" si="20"/>
        <v>45497</v>
      </c>
      <c r="E61" s="52" t="s">
        <v>14</v>
      </c>
      <c r="F61" s="131">
        <v>9</v>
      </c>
      <c r="G61" s="168">
        <v>1001</v>
      </c>
      <c r="H61" s="169">
        <f t="shared" si="5"/>
        <v>9.2845976559737667E-5</v>
      </c>
      <c r="I61" s="169">
        <f t="shared" si="1"/>
        <v>4.7954991262174045E-4</v>
      </c>
      <c r="J61" s="170">
        <f t="shared" si="2"/>
        <v>0.48002946253436218</v>
      </c>
      <c r="K61" s="171">
        <f t="shared" si="13"/>
        <v>9.29388225362974E-2</v>
      </c>
      <c r="L61" s="176">
        <f t="shared" si="21"/>
        <v>0.38709063999806481</v>
      </c>
      <c r="M61" s="173">
        <f t="shared" si="7"/>
        <v>3.2370220020998562E-2</v>
      </c>
      <c r="N61" s="174">
        <f t="shared" si="8"/>
        <v>0.41946086001906335</v>
      </c>
      <c r="O61" s="173">
        <f t="shared" si="9"/>
        <v>0</v>
      </c>
      <c r="P61" s="173">
        <f t="shared" si="10"/>
        <v>0</v>
      </c>
      <c r="Q61" s="173">
        <v>0</v>
      </c>
      <c r="R61" s="174">
        <f t="shared" si="11"/>
        <v>0.41946086001906335</v>
      </c>
    </row>
    <row r="62" spans="1:18" x14ac:dyDescent="0.25">
      <c r="A62" s="94">
        <v>7</v>
      </c>
      <c r="B62" s="166">
        <f t="shared" si="4"/>
        <v>45474</v>
      </c>
      <c r="C62" s="186">
        <f t="shared" si="20"/>
        <v>45509</v>
      </c>
      <c r="D62" s="186">
        <f t="shared" si="20"/>
        <v>45530</v>
      </c>
      <c r="E62" s="52" t="s">
        <v>14</v>
      </c>
      <c r="F62" s="131">
        <v>9</v>
      </c>
      <c r="G62" s="168">
        <v>961</v>
      </c>
      <c r="H62" s="169">
        <f t="shared" si="5"/>
        <v>9.2845976559737667E-5</v>
      </c>
      <c r="I62" s="169">
        <f t="shared" si="1"/>
        <v>4.7954991262174045E-4</v>
      </c>
      <c r="J62" s="170">
        <f t="shared" si="2"/>
        <v>0.46084746602949256</v>
      </c>
      <c r="K62" s="177">
        <f t="shared" si="13"/>
        <v>8.9224983473907893E-2</v>
      </c>
      <c r="L62" s="176">
        <f t="shared" si="21"/>
        <v>0.37162248255558467</v>
      </c>
      <c r="M62" s="173">
        <f t="shared" si="7"/>
        <v>3.1076704735444171E-2</v>
      </c>
      <c r="N62" s="174">
        <f t="shared" si="8"/>
        <v>0.40269918729102883</v>
      </c>
      <c r="O62" s="173">
        <f t="shared" si="9"/>
        <v>0</v>
      </c>
      <c r="P62" s="173">
        <f t="shared" si="10"/>
        <v>0</v>
      </c>
      <c r="Q62" s="173">
        <v>0</v>
      </c>
      <c r="R62" s="174">
        <f t="shared" si="11"/>
        <v>0.40269918729102883</v>
      </c>
    </row>
    <row r="63" spans="1:18" x14ac:dyDescent="0.25">
      <c r="A63" s="131">
        <v>8</v>
      </c>
      <c r="B63" s="166">
        <f t="shared" si="4"/>
        <v>45505</v>
      </c>
      <c r="C63" s="186">
        <f t="shared" si="20"/>
        <v>45539</v>
      </c>
      <c r="D63" s="186">
        <f t="shared" si="20"/>
        <v>45559</v>
      </c>
      <c r="E63" s="52" t="s">
        <v>14</v>
      </c>
      <c r="F63" s="131">
        <v>9</v>
      </c>
      <c r="G63" s="168">
        <v>1017</v>
      </c>
      <c r="H63" s="169">
        <f t="shared" si="5"/>
        <v>9.2845976559737667E-5</v>
      </c>
      <c r="I63" s="169">
        <f t="shared" si="1"/>
        <v>4.7954991262174045E-4</v>
      </c>
      <c r="J63" s="170">
        <f t="shared" si="2"/>
        <v>0.48770226113631004</v>
      </c>
      <c r="K63" s="177">
        <f t="shared" si="13"/>
        <v>9.4424358161253205E-2</v>
      </c>
      <c r="L63" s="176">
        <f t="shared" si="21"/>
        <v>0.39327790297505683</v>
      </c>
      <c r="M63" s="173">
        <f t="shared" si="7"/>
        <v>3.2887626135220317E-2</v>
      </c>
      <c r="N63" s="174">
        <f t="shared" si="8"/>
        <v>0.42616552911027716</v>
      </c>
      <c r="O63" s="173">
        <f t="shared" si="9"/>
        <v>0</v>
      </c>
      <c r="P63" s="173">
        <f t="shared" si="10"/>
        <v>0</v>
      </c>
      <c r="Q63" s="173">
        <v>0</v>
      </c>
      <c r="R63" s="174">
        <f t="shared" si="11"/>
        <v>0.42616552911027716</v>
      </c>
    </row>
    <row r="64" spans="1:18" x14ac:dyDescent="0.25">
      <c r="A64" s="131">
        <v>9</v>
      </c>
      <c r="B64" s="166">
        <f t="shared" si="4"/>
        <v>45536</v>
      </c>
      <c r="C64" s="186">
        <f t="shared" si="20"/>
        <v>45568</v>
      </c>
      <c r="D64" s="186">
        <f t="shared" si="20"/>
        <v>45589</v>
      </c>
      <c r="E64" s="52" t="s">
        <v>14</v>
      </c>
      <c r="F64" s="131">
        <v>9</v>
      </c>
      <c r="G64" s="168">
        <v>856</v>
      </c>
      <c r="H64" s="169">
        <f t="shared" si="5"/>
        <v>9.2845976559737667E-5</v>
      </c>
      <c r="I64" s="169">
        <f t="shared" ref="I64:I107" si="22">$J$3</f>
        <v>4.7954991262174045E-4</v>
      </c>
      <c r="J64" s="170">
        <f t="shared" si="2"/>
        <v>0.41049472520420982</v>
      </c>
      <c r="K64" s="177">
        <f t="shared" si="13"/>
        <v>7.9476155935135448E-2</v>
      </c>
      <c r="L64" s="176">
        <f t="shared" si="21"/>
        <v>0.33101856926907436</v>
      </c>
      <c r="M64" s="173">
        <f t="shared" si="7"/>
        <v>2.7681227110863901E-2</v>
      </c>
      <c r="N64" s="174">
        <f t="shared" si="8"/>
        <v>0.35869979637993826</v>
      </c>
      <c r="O64" s="173">
        <f t="shared" si="9"/>
        <v>0</v>
      </c>
      <c r="P64" s="173">
        <f t="shared" si="10"/>
        <v>0</v>
      </c>
      <c r="Q64" s="173">
        <v>0</v>
      </c>
      <c r="R64" s="174">
        <f t="shared" si="11"/>
        <v>0.35869979637993826</v>
      </c>
    </row>
    <row r="65" spans="1:18" x14ac:dyDescent="0.25">
      <c r="A65" s="94">
        <v>10</v>
      </c>
      <c r="B65" s="166">
        <f t="shared" si="4"/>
        <v>45566</v>
      </c>
      <c r="C65" s="186">
        <f t="shared" si="20"/>
        <v>45601</v>
      </c>
      <c r="D65" s="186">
        <f t="shared" si="20"/>
        <v>45621</v>
      </c>
      <c r="E65" s="52" t="s">
        <v>14</v>
      </c>
      <c r="F65" s="131">
        <v>9</v>
      </c>
      <c r="G65" s="168">
        <v>786</v>
      </c>
      <c r="H65" s="169">
        <f t="shared" si="5"/>
        <v>9.2845976559737667E-5</v>
      </c>
      <c r="I65" s="169">
        <f t="shared" si="22"/>
        <v>4.7954991262174045E-4</v>
      </c>
      <c r="J65" s="170">
        <f t="shared" si="2"/>
        <v>0.37692623132068798</v>
      </c>
      <c r="K65" s="177">
        <f t="shared" si="13"/>
        <v>7.2976937575953804E-2</v>
      </c>
      <c r="L65" s="176">
        <f t="shared" si="21"/>
        <v>0.30394929374473417</v>
      </c>
      <c r="M65" s="173">
        <f t="shared" si="7"/>
        <v>2.5417575361143724E-2</v>
      </c>
      <c r="N65" s="174">
        <f t="shared" si="8"/>
        <v>0.32936686910587787</v>
      </c>
      <c r="O65" s="173">
        <f t="shared" si="9"/>
        <v>0</v>
      </c>
      <c r="P65" s="173">
        <f t="shared" si="10"/>
        <v>0</v>
      </c>
      <c r="Q65" s="173">
        <v>0</v>
      </c>
      <c r="R65" s="174">
        <f t="shared" si="11"/>
        <v>0.32936686910587787</v>
      </c>
    </row>
    <row r="66" spans="1:18" x14ac:dyDescent="0.25">
      <c r="A66" s="131">
        <v>11</v>
      </c>
      <c r="B66" s="166">
        <f t="shared" si="4"/>
        <v>45597</v>
      </c>
      <c r="C66" s="186">
        <f t="shared" si="20"/>
        <v>45630</v>
      </c>
      <c r="D66" s="186">
        <f t="shared" si="20"/>
        <v>45650</v>
      </c>
      <c r="E66" s="52" t="s">
        <v>14</v>
      </c>
      <c r="F66" s="131">
        <v>9</v>
      </c>
      <c r="G66" s="168">
        <v>463</v>
      </c>
      <c r="H66" s="169">
        <f t="shared" si="5"/>
        <v>9.2845976559737667E-5</v>
      </c>
      <c r="I66" s="169">
        <f t="shared" si="22"/>
        <v>4.7954991262174045E-4</v>
      </c>
      <c r="J66" s="170">
        <f t="shared" si="2"/>
        <v>0.22203160954386583</v>
      </c>
      <c r="K66" s="177">
        <f t="shared" si="13"/>
        <v>4.2987687147158539E-2</v>
      </c>
      <c r="L66" s="176">
        <f t="shared" si="21"/>
        <v>0.1790439223967073</v>
      </c>
      <c r="M66" s="173">
        <f t="shared" si="7"/>
        <v>1.4972439430292042E-2</v>
      </c>
      <c r="N66" s="174">
        <f t="shared" si="8"/>
        <v>0.19401636182699933</v>
      </c>
      <c r="O66" s="173">
        <f t="shared" si="9"/>
        <v>0</v>
      </c>
      <c r="P66" s="173">
        <f t="shared" si="10"/>
        <v>0</v>
      </c>
      <c r="Q66" s="173">
        <v>0</v>
      </c>
      <c r="R66" s="174">
        <f t="shared" si="11"/>
        <v>0.19401636182699933</v>
      </c>
    </row>
    <row r="67" spans="1:18" s="190" customFormat="1" x14ac:dyDescent="0.25">
      <c r="A67" s="131">
        <v>12</v>
      </c>
      <c r="B67" s="188">
        <f t="shared" si="4"/>
        <v>45627</v>
      </c>
      <c r="C67" s="186">
        <f t="shared" si="20"/>
        <v>45660</v>
      </c>
      <c r="D67" s="186">
        <f t="shared" si="20"/>
        <v>45681</v>
      </c>
      <c r="E67" s="189" t="s">
        <v>14</v>
      </c>
      <c r="F67" s="142">
        <v>9</v>
      </c>
      <c r="G67" s="168">
        <v>725</v>
      </c>
      <c r="H67" s="178">
        <f t="shared" si="5"/>
        <v>9.2845976559737667E-5</v>
      </c>
      <c r="I67" s="178">
        <f t="shared" si="22"/>
        <v>4.7954991262174045E-4</v>
      </c>
      <c r="J67" s="179">
        <f t="shared" si="2"/>
        <v>0.34767368665076182</v>
      </c>
      <c r="K67" s="180">
        <f t="shared" si="13"/>
        <v>6.7313333005809814E-2</v>
      </c>
      <c r="L67" s="181">
        <f t="shared" si="21"/>
        <v>0.28036035364495199</v>
      </c>
      <c r="M67" s="173">
        <f t="shared" si="7"/>
        <v>2.3444964550673283E-2</v>
      </c>
      <c r="N67" s="174">
        <f t="shared" si="8"/>
        <v>0.30380531819562528</v>
      </c>
      <c r="O67" s="173">
        <f t="shared" si="9"/>
        <v>0</v>
      </c>
      <c r="P67" s="173">
        <f t="shared" si="10"/>
        <v>0</v>
      </c>
      <c r="Q67" s="173">
        <v>0</v>
      </c>
      <c r="R67" s="174">
        <f t="shared" si="11"/>
        <v>0.30380531819562528</v>
      </c>
    </row>
    <row r="68" spans="1:18" x14ac:dyDescent="0.25">
      <c r="A68" s="94">
        <v>1</v>
      </c>
      <c r="B68" s="166">
        <f t="shared" si="4"/>
        <v>45292</v>
      </c>
      <c r="C68" s="183">
        <f t="shared" ref="C68:D79" si="23">+C56</f>
        <v>45327</v>
      </c>
      <c r="D68" s="183">
        <f t="shared" si="23"/>
        <v>45348</v>
      </c>
      <c r="E68" s="167" t="s">
        <v>85</v>
      </c>
      <c r="F68" s="94">
        <v>9</v>
      </c>
      <c r="G68" s="168">
        <v>58</v>
      </c>
      <c r="H68" s="169">
        <f>+$K$3</f>
        <v>9.2845976559737667E-5</v>
      </c>
      <c r="I68" s="169">
        <f t="shared" si="22"/>
        <v>4.7954991262174045E-4</v>
      </c>
      <c r="J68" s="170">
        <f t="shared" si="2"/>
        <v>2.7813894932060948E-2</v>
      </c>
      <c r="K68" s="171">
        <f t="shared" si="13"/>
        <v>5.3850666404647845E-3</v>
      </c>
      <c r="L68" s="172">
        <f t="shared" si="21"/>
        <v>2.2428828291596162E-2</v>
      </c>
      <c r="M68" s="173">
        <f t="shared" si="7"/>
        <v>1.8755971640538624E-3</v>
      </c>
      <c r="N68" s="174">
        <f t="shared" si="8"/>
        <v>2.4304425455650026E-2</v>
      </c>
      <c r="O68" s="173">
        <f t="shared" si="9"/>
        <v>0</v>
      </c>
      <c r="P68" s="173">
        <f t="shared" si="10"/>
        <v>0</v>
      </c>
      <c r="Q68" s="173">
        <v>0</v>
      </c>
      <c r="R68" s="174">
        <f t="shared" si="11"/>
        <v>2.4304425455650026E-2</v>
      </c>
    </row>
    <row r="69" spans="1:18" x14ac:dyDescent="0.25">
      <c r="A69" s="131">
        <v>2</v>
      </c>
      <c r="B69" s="166">
        <f t="shared" si="4"/>
        <v>45323</v>
      </c>
      <c r="C69" s="186">
        <f t="shared" si="23"/>
        <v>45356</v>
      </c>
      <c r="D69" s="186">
        <f t="shared" si="23"/>
        <v>45376</v>
      </c>
      <c r="E69" s="175" t="s">
        <v>85</v>
      </c>
      <c r="F69" s="131">
        <v>9</v>
      </c>
      <c r="G69" s="168">
        <v>36</v>
      </c>
      <c r="H69" s="169">
        <f t="shared" si="5"/>
        <v>9.2845976559737667E-5</v>
      </c>
      <c r="I69" s="169">
        <f t="shared" si="22"/>
        <v>4.7954991262174045E-4</v>
      </c>
      <c r="J69" s="170">
        <f t="shared" si="2"/>
        <v>1.7263796854382656E-2</v>
      </c>
      <c r="K69" s="171">
        <f t="shared" si="13"/>
        <v>3.3424551561505558E-3</v>
      </c>
      <c r="L69" s="172">
        <f t="shared" si="21"/>
        <v>1.3921341698232101E-2</v>
      </c>
      <c r="M69" s="173">
        <f t="shared" si="7"/>
        <v>1.1641637569989492E-3</v>
      </c>
      <c r="N69" s="174">
        <f t="shared" si="8"/>
        <v>1.508550545523105E-2</v>
      </c>
      <c r="O69" s="173">
        <f t="shared" si="9"/>
        <v>0</v>
      </c>
      <c r="P69" s="173">
        <f t="shared" si="10"/>
        <v>0</v>
      </c>
      <c r="Q69" s="173">
        <v>0</v>
      </c>
      <c r="R69" s="174">
        <f t="shared" si="11"/>
        <v>1.508550545523105E-2</v>
      </c>
    </row>
    <row r="70" spans="1:18" x14ac:dyDescent="0.25">
      <c r="A70" s="131">
        <v>3</v>
      </c>
      <c r="B70" s="166">
        <f t="shared" si="4"/>
        <v>45352</v>
      </c>
      <c r="C70" s="186">
        <f t="shared" si="23"/>
        <v>45385</v>
      </c>
      <c r="D70" s="186">
        <f t="shared" si="23"/>
        <v>45406</v>
      </c>
      <c r="E70" s="175" t="s">
        <v>85</v>
      </c>
      <c r="F70" s="131">
        <v>9</v>
      </c>
      <c r="G70" s="168">
        <v>29</v>
      </c>
      <c r="H70" s="169">
        <f t="shared" si="5"/>
        <v>9.2845976559737667E-5</v>
      </c>
      <c r="I70" s="169">
        <f t="shared" si="22"/>
        <v>4.7954991262174045E-4</v>
      </c>
      <c r="J70" s="170">
        <f t="shared" si="2"/>
        <v>1.3906947466030474E-2</v>
      </c>
      <c r="K70" s="171">
        <f t="shared" si="13"/>
        <v>2.6925333202323922E-3</v>
      </c>
      <c r="L70" s="172">
        <f>+J70-K70</f>
        <v>1.1214414145798081E-2</v>
      </c>
      <c r="M70" s="173">
        <f t="shared" si="7"/>
        <v>9.377985820269312E-4</v>
      </c>
      <c r="N70" s="174">
        <f t="shared" si="8"/>
        <v>1.2152212727825013E-2</v>
      </c>
      <c r="O70" s="173">
        <f t="shared" si="9"/>
        <v>0</v>
      </c>
      <c r="P70" s="173">
        <f t="shared" si="10"/>
        <v>0</v>
      </c>
      <c r="Q70" s="173">
        <v>0</v>
      </c>
      <c r="R70" s="174">
        <f t="shared" si="11"/>
        <v>1.2152212727825013E-2</v>
      </c>
    </row>
    <row r="71" spans="1:18" x14ac:dyDescent="0.25">
      <c r="A71" s="94">
        <v>4</v>
      </c>
      <c r="B71" s="166">
        <f t="shared" si="4"/>
        <v>45383</v>
      </c>
      <c r="C71" s="186">
        <f t="shared" si="23"/>
        <v>45415</v>
      </c>
      <c r="D71" s="186">
        <f t="shared" si="23"/>
        <v>45436</v>
      </c>
      <c r="E71" s="175" t="s">
        <v>85</v>
      </c>
      <c r="F71" s="131">
        <v>9</v>
      </c>
      <c r="G71" s="168">
        <v>27</v>
      </c>
      <c r="H71" s="169">
        <f t="shared" si="5"/>
        <v>9.2845976559737667E-5</v>
      </c>
      <c r="I71" s="169">
        <f t="shared" si="22"/>
        <v>4.7954991262174045E-4</v>
      </c>
      <c r="J71" s="170">
        <f t="shared" si="2"/>
        <v>1.2947847640786991E-2</v>
      </c>
      <c r="K71" s="171">
        <f t="shared" si="13"/>
        <v>2.506841367112917E-3</v>
      </c>
      <c r="L71" s="172">
        <f t="shared" ref="L71:L79" si="24">+J71-K71</f>
        <v>1.0441006273674074E-2</v>
      </c>
      <c r="M71" s="173">
        <f t="shared" si="7"/>
        <v>8.7312281774921203E-4</v>
      </c>
      <c r="N71" s="174">
        <f t="shared" si="8"/>
        <v>1.1314129091423287E-2</v>
      </c>
      <c r="O71" s="173">
        <f t="shared" si="9"/>
        <v>0</v>
      </c>
      <c r="P71" s="173">
        <f t="shared" si="10"/>
        <v>0</v>
      </c>
      <c r="Q71" s="173">
        <v>0</v>
      </c>
      <c r="R71" s="174">
        <f t="shared" si="11"/>
        <v>1.1314129091423287E-2</v>
      </c>
    </row>
    <row r="72" spans="1:18" x14ac:dyDescent="0.25">
      <c r="A72" s="131">
        <v>5</v>
      </c>
      <c r="B72" s="166">
        <f t="shared" si="4"/>
        <v>45413</v>
      </c>
      <c r="C72" s="186">
        <f t="shared" si="23"/>
        <v>45448</v>
      </c>
      <c r="D72" s="186">
        <f t="shared" si="23"/>
        <v>45467</v>
      </c>
      <c r="E72" s="175" t="s">
        <v>85</v>
      </c>
      <c r="F72" s="131">
        <v>9</v>
      </c>
      <c r="G72" s="168">
        <v>36</v>
      </c>
      <c r="H72" s="169">
        <f t="shared" si="5"/>
        <v>9.2845976559737667E-5</v>
      </c>
      <c r="I72" s="169">
        <f t="shared" si="22"/>
        <v>4.7954991262174045E-4</v>
      </c>
      <c r="J72" s="170">
        <f t="shared" si="2"/>
        <v>1.7263796854382656E-2</v>
      </c>
      <c r="K72" s="171">
        <f t="shared" si="13"/>
        <v>3.3424551561505558E-3</v>
      </c>
      <c r="L72" s="172">
        <f t="shared" si="24"/>
        <v>1.3921341698232101E-2</v>
      </c>
      <c r="M72" s="173">
        <f t="shared" si="7"/>
        <v>1.1641637569989492E-3</v>
      </c>
      <c r="N72" s="174">
        <f t="shared" si="8"/>
        <v>1.508550545523105E-2</v>
      </c>
      <c r="O72" s="173">
        <f t="shared" si="9"/>
        <v>0</v>
      </c>
      <c r="P72" s="173">
        <f t="shared" si="10"/>
        <v>0</v>
      </c>
      <c r="Q72" s="173">
        <v>0</v>
      </c>
      <c r="R72" s="174">
        <f t="shared" si="11"/>
        <v>1.508550545523105E-2</v>
      </c>
    </row>
    <row r="73" spans="1:18" x14ac:dyDescent="0.25">
      <c r="A73" s="131">
        <v>6</v>
      </c>
      <c r="B73" s="166">
        <f t="shared" si="4"/>
        <v>45444</v>
      </c>
      <c r="C73" s="186">
        <f t="shared" si="23"/>
        <v>45476</v>
      </c>
      <c r="D73" s="186">
        <f t="shared" si="23"/>
        <v>45497</v>
      </c>
      <c r="E73" s="175" t="s">
        <v>85</v>
      </c>
      <c r="F73" s="131">
        <v>9</v>
      </c>
      <c r="G73" s="168">
        <v>53</v>
      </c>
      <c r="H73" s="169">
        <f t="shared" si="5"/>
        <v>9.2845976559737667E-5</v>
      </c>
      <c r="I73" s="169">
        <f t="shared" si="22"/>
        <v>4.7954991262174045E-4</v>
      </c>
      <c r="J73" s="170">
        <f t="shared" si="2"/>
        <v>2.5416145368952245E-2</v>
      </c>
      <c r="K73" s="171">
        <f t="shared" si="13"/>
        <v>4.9208367576660961E-3</v>
      </c>
      <c r="L73" s="176">
        <f t="shared" si="24"/>
        <v>2.049530861128615E-2</v>
      </c>
      <c r="M73" s="173">
        <f t="shared" si="7"/>
        <v>1.7139077533595642E-3</v>
      </c>
      <c r="N73" s="174">
        <f t="shared" si="8"/>
        <v>2.2209216364645713E-2</v>
      </c>
      <c r="O73" s="173">
        <f t="shared" si="9"/>
        <v>0</v>
      </c>
      <c r="P73" s="173">
        <f t="shared" si="10"/>
        <v>0</v>
      </c>
      <c r="Q73" s="173">
        <v>0</v>
      </c>
      <c r="R73" s="174">
        <f t="shared" si="11"/>
        <v>2.2209216364645713E-2</v>
      </c>
    </row>
    <row r="74" spans="1:18" x14ac:dyDescent="0.25">
      <c r="A74" s="94">
        <v>7</v>
      </c>
      <c r="B74" s="166">
        <f t="shared" si="4"/>
        <v>45474</v>
      </c>
      <c r="C74" s="186">
        <f t="shared" si="23"/>
        <v>45509</v>
      </c>
      <c r="D74" s="186">
        <f t="shared" si="23"/>
        <v>45530</v>
      </c>
      <c r="E74" s="175" t="s">
        <v>85</v>
      </c>
      <c r="F74" s="131">
        <v>9</v>
      </c>
      <c r="G74" s="168">
        <v>53</v>
      </c>
      <c r="H74" s="169">
        <f t="shared" si="5"/>
        <v>9.2845976559737667E-5</v>
      </c>
      <c r="I74" s="169">
        <f t="shared" si="22"/>
        <v>4.7954991262174045E-4</v>
      </c>
      <c r="J74" s="170">
        <f t="shared" si="2"/>
        <v>2.5416145368952245E-2</v>
      </c>
      <c r="K74" s="177">
        <f t="shared" si="13"/>
        <v>4.9208367576660961E-3</v>
      </c>
      <c r="L74" s="176">
        <f t="shared" si="24"/>
        <v>2.049530861128615E-2</v>
      </c>
      <c r="M74" s="173">
        <f t="shared" si="7"/>
        <v>1.7139077533595642E-3</v>
      </c>
      <c r="N74" s="174">
        <f t="shared" si="8"/>
        <v>2.2209216364645713E-2</v>
      </c>
      <c r="O74" s="173">
        <f t="shared" si="9"/>
        <v>0</v>
      </c>
      <c r="P74" s="173">
        <f t="shared" si="10"/>
        <v>0</v>
      </c>
      <c r="Q74" s="173">
        <v>0</v>
      </c>
      <c r="R74" s="174">
        <f t="shared" si="11"/>
        <v>2.2209216364645713E-2</v>
      </c>
    </row>
    <row r="75" spans="1:18" x14ac:dyDescent="0.25">
      <c r="A75" s="131">
        <v>8</v>
      </c>
      <c r="B75" s="166">
        <f t="shared" si="4"/>
        <v>45505</v>
      </c>
      <c r="C75" s="186">
        <f t="shared" si="23"/>
        <v>45539</v>
      </c>
      <c r="D75" s="186">
        <f t="shared" si="23"/>
        <v>45559</v>
      </c>
      <c r="E75" s="175" t="s">
        <v>85</v>
      </c>
      <c r="F75" s="131">
        <v>9</v>
      </c>
      <c r="G75" s="168">
        <v>54</v>
      </c>
      <c r="H75" s="169">
        <f t="shared" si="5"/>
        <v>9.2845976559737667E-5</v>
      </c>
      <c r="I75" s="169">
        <f t="shared" si="22"/>
        <v>4.7954991262174045E-4</v>
      </c>
      <c r="J75" s="170">
        <f t="shared" si="2"/>
        <v>2.5895695281573983E-2</v>
      </c>
      <c r="K75" s="177">
        <f t="shared" si="13"/>
        <v>5.013682734225834E-3</v>
      </c>
      <c r="L75" s="176">
        <f t="shared" si="24"/>
        <v>2.0882012547348148E-2</v>
      </c>
      <c r="M75" s="173">
        <f t="shared" si="7"/>
        <v>1.7462456354984241E-3</v>
      </c>
      <c r="N75" s="174">
        <f t="shared" si="8"/>
        <v>2.2628258182846573E-2</v>
      </c>
      <c r="O75" s="173">
        <f t="shared" si="9"/>
        <v>0</v>
      </c>
      <c r="P75" s="173">
        <f t="shared" si="10"/>
        <v>0</v>
      </c>
      <c r="Q75" s="173">
        <v>0</v>
      </c>
      <c r="R75" s="174">
        <f t="shared" si="11"/>
        <v>2.2628258182846573E-2</v>
      </c>
    </row>
    <row r="76" spans="1:18" x14ac:dyDescent="0.25">
      <c r="A76" s="131">
        <v>9</v>
      </c>
      <c r="B76" s="166">
        <f t="shared" si="4"/>
        <v>45536</v>
      </c>
      <c r="C76" s="186">
        <f t="shared" si="23"/>
        <v>45568</v>
      </c>
      <c r="D76" s="186">
        <f t="shared" si="23"/>
        <v>45589</v>
      </c>
      <c r="E76" s="175" t="s">
        <v>85</v>
      </c>
      <c r="F76" s="131">
        <v>9</v>
      </c>
      <c r="G76" s="168">
        <v>48</v>
      </c>
      <c r="H76" s="169">
        <f t="shared" si="5"/>
        <v>9.2845976559737667E-5</v>
      </c>
      <c r="I76" s="169">
        <f t="shared" si="22"/>
        <v>4.7954991262174045E-4</v>
      </c>
      <c r="J76" s="170">
        <f t="shared" si="2"/>
        <v>2.3018395805843542E-2</v>
      </c>
      <c r="K76" s="177">
        <f t="shared" si="13"/>
        <v>4.4566068748674078E-3</v>
      </c>
      <c r="L76" s="176">
        <f t="shared" si="24"/>
        <v>1.8561788930976132E-2</v>
      </c>
      <c r="M76" s="173">
        <f t="shared" si="7"/>
        <v>1.5522183426652655E-3</v>
      </c>
      <c r="N76" s="174">
        <f t="shared" si="8"/>
        <v>2.0114007273641397E-2</v>
      </c>
      <c r="O76" s="173">
        <f t="shared" si="9"/>
        <v>0</v>
      </c>
      <c r="P76" s="173">
        <f t="shared" si="10"/>
        <v>0</v>
      </c>
      <c r="Q76" s="173">
        <v>0</v>
      </c>
      <c r="R76" s="174">
        <f t="shared" si="11"/>
        <v>2.0114007273641397E-2</v>
      </c>
    </row>
    <row r="77" spans="1:18" x14ac:dyDescent="0.25">
      <c r="A77" s="94">
        <v>10</v>
      </c>
      <c r="B77" s="166">
        <f t="shared" si="4"/>
        <v>45566</v>
      </c>
      <c r="C77" s="186">
        <f t="shared" si="23"/>
        <v>45601</v>
      </c>
      <c r="D77" s="186">
        <f t="shared" si="23"/>
        <v>45621</v>
      </c>
      <c r="E77" s="175" t="s">
        <v>85</v>
      </c>
      <c r="F77" s="131">
        <v>9</v>
      </c>
      <c r="G77" s="168">
        <v>41</v>
      </c>
      <c r="H77" s="169">
        <f t="shared" si="5"/>
        <v>9.2845976559737667E-5</v>
      </c>
      <c r="I77" s="169">
        <f t="shared" si="22"/>
        <v>4.7954991262174045E-4</v>
      </c>
      <c r="J77" s="170">
        <f t="shared" si="2"/>
        <v>1.9661546417491359E-2</v>
      </c>
      <c r="K77" s="177">
        <f t="shared" si="13"/>
        <v>3.8066850389492442E-3</v>
      </c>
      <c r="L77" s="176">
        <f t="shared" si="24"/>
        <v>1.5854861378542116E-2</v>
      </c>
      <c r="M77" s="173">
        <f t="shared" si="7"/>
        <v>1.3258531676932476E-3</v>
      </c>
      <c r="N77" s="174">
        <f t="shared" si="8"/>
        <v>1.7180714546235362E-2</v>
      </c>
      <c r="O77" s="173">
        <f t="shared" si="9"/>
        <v>0</v>
      </c>
      <c r="P77" s="173">
        <f t="shared" si="10"/>
        <v>0</v>
      </c>
      <c r="Q77" s="173">
        <v>0</v>
      </c>
      <c r="R77" s="174">
        <f t="shared" si="11"/>
        <v>1.7180714546235362E-2</v>
      </c>
    </row>
    <row r="78" spans="1:18" x14ac:dyDescent="0.25">
      <c r="A78" s="131">
        <v>11</v>
      </c>
      <c r="B78" s="166">
        <f t="shared" si="4"/>
        <v>45597</v>
      </c>
      <c r="C78" s="186">
        <f t="shared" si="23"/>
        <v>45630</v>
      </c>
      <c r="D78" s="186">
        <f t="shared" si="23"/>
        <v>45650</v>
      </c>
      <c r="E78" s="175" t="s">
        <v>85</v>
      </c>
      <c r="F78" s="131">
        <v>9</v>
      </c>
      <c r="G78" s="168">
        <v>22</v>
      </c>
      <c r="H78" s="169">
        <f t="shared" si="5"/>
        <v>9.2845976559737667E-5</v>
      </c>
      <c r="I78" s="169">
        <f t="shared" si="22"/>
        <v>4.7954991262174045E-4</v>
      </c>
      <c r="J78" s="170">
        <f t="shared" si="2"/>
        <v>1.055009807767829E-2</v>
      </c>
      <c r="K78" s="177">
        <f>+$G78*H78</f>
        <v>2.0426114843142286E-3</v>
      </c>
      <c r="L78" s="176">
        <f t="shared" si="24"/>
        <v>8.5074865933640609E-3</v>
      </c>
      <c r="M78" s="173">
        <f t="shared" si="7"/>
        <v>7.1143340705491335E-4</v>
      </c>
      <c r="N78" s="174">
        <f t="shared" si="8"/>
        <v>9.2189200004189741E-3</v>
      </c>
      <c r="O78" s="173">
        <f t="shared" si="9"/>
        <v>0</v>
      </c>
      <c r="P78" s="173">
        <f t="shared" si="10"/>
        <v>0</v>
      </c>
      <c r="Q78" s="173">
        <v>0</v>
      </c>
      <c r="R78" s="174">
        <f t="shared" si="11"/>
        <v>9.2189200004189741E-3</v>
      </c>
    </row>
    <row r="79" spans="1:18" s="190" customFormat="1" x14ac:dyDescent="0.25">
      <c r="A79" s="131">
        <v>12</v>
      </c>
      <c r="B79" s="188">
        <f t="shared" si="4"/>
        <v>45627</v>
      </c>
      <c r="C79" s="191">
        <f t="shared" si="23"/>
        <v>45660</v>
      </c>
      <c r="D79" s="191">
        <f t="shared" si="23"/>
        <v>45681</v>
      </c>
      <c r="E79" s="192" t="s">
        <v>85</v>
      </c>
      <c r="F79" s="142">
        <v>9</v>
      </c>
      <c r="G79" s="168">
        <v>37</v>
      </c>
      <c r="H79" s="178">
        <f t="shared" si="5"/>
        <v>9.2845976559737667E-5</v>
      </c>
      <c r="I79" s="178">
        <f t="shared" si="22"/>
        <v>4.7954991262174045E-4</v>
      </c>
      <c r="J79" s="179">
        <f t="shared" si="2"/>
        <v>1.7743346767004398E-2</v>
      </c>
      <c r="K79" s="180">
        <f>+$G79*H79</f>
        <v>3.4353011327102937E-3</v>
      </c>
      <c r="L79" s="181">
        <f t="shared" si="24"/>
        <v>1.4308045634294103E-2</v>
      </c>
      <c r="M79" s="173">
        <f t="shared" si="7"/>
        <v>1.1965016391378089E-3</v>
      </c>
      <c r="N79" s="174">
        <f t="shared" si="8"/>
        <v>1.5504547273431913E-2</v>
      </c>
      <c r="O79" s="173">
        <f t="shared" si="9"/>
        <v>0</v>
      </c>
      <c r="P79" s="173">
        <f t="shared" si="10"/>
        <v>0</v>
      </c>
      <c r="Q79" s="173">
        <v>0</v>
      </c>
      <c r="R79" s="174">
        <f t="shared" si="11"/>
        <v>1.5504547273431913E-2</v>
      </c>
    </row>
    <row r="80" spans="1:18" s="50" customFormat="1" ht="12.75" customHeight="1" x14ac:dyDescent="0.25">
      <c r="A80" s="94">
        <v>1</v>
      </c>
      <c r="B80" s="166">
        <f t="shared" si="4"/>
        <v>45292</v>
      </c>
      <c r="C80" s="183">
        <f t="shared" ref="C80:D91" si="25">+C56</f>
        <v>45327</v>
      </c>
      <c r="D80" s="183">
        <f t="shared" si="25"/>
        <v>45348</v>
      </c>
      <c r="E80" s="167" t="s">
        <v>9</v>
      </c>
      <c r="F80" s="94">
        <v>9</v>
      </c>
      <c r="G80" s="168">
        <v>75</v>
      </c>
      <c r="H80" s="169">
        <f>+$K$3</f>
        <v>9.2845976559737667E-5</v>
      </c>
      <c r="I80" s="169">
        <f t="shared" si="22"/>
        <v>4.7954991262174045E-4</v>
      </c>
      <c r="J80" s="170">
        <f t="shared" si="2"/>
        <v>3.5966243446630533E-2</v>
      </c>
      <c r="K80" s="171">
        <f t="shared" si="13"/>
        <v>6.9634482419803252E-3</v>
      </c>
      <c r="L80" s="172">
        <f t="shared" si="21"/>
        <v>2.9002795204650208E-2</v>
      </c>
      <c r="M80" s="173">
        <f t="shared" si="7"/>
        <v>2.4253411604144774E-3</v>
      </c>
      <c r="N80" s="174">
        <f t="shared" si="8"/>
        <v>3.1428136365064682E-2</v>
      </c>
      <c r="O80" s="173">
        <f t="shared" si="9"/>
        <v>0</v>
      </c>
      <c r="P80" s="173">
        <f t="shared" si="10"/>
        <v>0</v>
      </c>
      <c r="Q80" s="173">
        <v>0</v>
      </c>
      <c r="R80" s="174">
        <f t="shared" si="11"/>
        <v>3.1428136365064682E-2</v>
      </c>
    </row>
    <row r="81" spans="1:18" x14ac:dyDescent="0.25">
      <c r="A81" s="131">
        <v>2</v>
      </c>
      <c r="B81" s="166">
        <f t="shared" si="4"/>
        <v>45323</v>
      </c>
      <c r="C81" s="186">
        <f t="shared" si="25"/>
        <v>45356</v>
      </c>
      <c r="D81" s="186">
        <f t="shared" si="25"/>
        <v>45376</v>
      </c>
      <c r="E81" s="175" t="s">
        <v>9</v>
      </c>
      <c r="F81" s="131">
        <v>9</v>
      </c>
      <c r="G81" s="168">
        <v>54</v>
      </c>
      <c r="H81" s="169">
        <f t="shared" si="5"/>
        <v>9.2845976559737667E-5</v>
      </c>
      <c r="I81" s="169">
        <f t="shared" si="22"/>
        <v>4.7954991262174045E-4</v>
      </c>
      <c r="J81" s="170">
        <f t="shared" si="2"/>
        <v>2.5895695281573983E-2</v>
      </c>
      <c r="K81" s="171">
        <f t="shared" si="13"/>
        <v>5.013682734225834E-3</v>
      </c>
      <c r="L81" s="172">
        <f t="shared" si="21"/>
        <v>2.0882012547348148E-2</v>
      </c>
      <c r="M81" s="173">
        <f t="shared" si="7"/>
        <v>1.7462456354984241E-3</v>
      </c>
      <c r="N81" s="174">
        <f t="shared" si="8"/>
        <v>2.2628258182846573E-2</v>
      </c>
      <c r="O81" s="173">
        <f t="shared" si="9"/>
        <v>0</v>
      </c>
      <c r="P81" s="173">
        <f t="shared" si="10"/>
        <v>0</v>
      </c>
      <c r="Q81" s="173">
        <v>0</v>
      </c>
      <c r="R81" s="174">
        <f t="shared" si="11"/>
        <v>2.2628258182846573E-2</v>
      </c>
    </row>
    <row r="82" spans="1:18" x14ac:dyDescent="0.25">
      <c r="A82" s="131">
        <v>3</v>
      </c>
      <c r="B82" s="166">
        <f t="shared" si="4"/>
        <v>45352</v>
      </c>
      <c r="C82" s="186">
        <f t="shared" si="25"/>
        <v>45385</v>
      </c>
      <c r="D82" s="186">
        <f t="shared" si="25"/>
        <v>45406</v>
      </c>
      <c r="E82" s="175" t="s">
        <v>9</v>
      </c>
      <c r="F82" s="131">
        <v>9</v>
      </c>
      <c r="G82" s="168">
        <v>49</v>
      </c>
      <c r="H82" s="169">
        <f t="shared" si="5"/>
        <v>9.2845976559737667E-5</v>
      </c>
      <c r="I82" s="169">
        <f t="shared" si="22"/>
        <v>4.7954991262174045E-4</v>
      </c>
      <c r="J82" s="170">
        <f t="shared" si="2"/>
        <v>2.3497945718465283E-2</v>
      </c>
      <c r="K82" s="171">
        <f t="shared" si="13"/>
        <v>4.5494528514271456E-3</v>
      </c>
      <c r="L82" s="172">
        <f>+J82-K82</f>
        <v>1.8948492867038137E-2</v>
      </c>
      <c r="M82" s="173">
        <f t="shared" si="7"/>
        <v>1.5845562248041254E-3</v>
      </c>
      <c r="N82" s="174">
        <f t="shared" si="8"/>
        <v>2.0533049091842261E-2</v>
      </c>
      <c r="O82" s="173">
        <f t="shared" si="9"/>
        <v>0</v>
      </c>
      <c r="P82" s="173">
        <f t="shared" si="10"/>
        <v>0</v>
      </c>
      <c r="Q82" s="173">
        <v>0</v>
      </c>
      <c r="R82" s="174">
        <f t="shared" si="11"/>
        <v>2.0533049091842261E-2</v>
      </c>
    </row>
    <row r="83" spans="1:18" ht="12" customHeight="1" x14ac:dyDescent="0.25">
      <c r="A83" s="94">
        <v>4</v>
      </c>
      <c r="B83" s="166">
        <f t="shared" si="4"/>
        <v>45383</v>
      </c>
      <c r="C83" s="186">
        <f t="shared" si="25"/>
        <v>45415</v>
      </c>
      <c r="D83" s="186">
        <f t="shared" si="25"/>
        <v>45436</v>
      </c>
      <c r="E83" s="52" t="s">
        <v>9</v>
      </c>
      <c r="F83" s="131">
        <v>9</v>
      </c>
      <c r="G83" s="168">
        <v>43</v>
      </c>
      <c r="H83" s="169">
        <f t="shared" si="5"/>
        <v>9.2845976559737667E-5</v>
      </c>
      <c r="I83" s="169">
        <f t="shared" si="22"/>
        <v>4.7954991262174045E-4</v>
      </c>
      <c r="J83" s="170">
        <f t="shared" si="2"/>
        <v>2.0620646242734839E-2</v>
      </c>
      <c r="K83" s="171">
        <f t="shared" si="13"/>
        <v>3.9923769920687194E-3</v>
      </c>
      <c r="L83" s="172">
        <f t="shared" ref="L83:L93" si="26">+J83-K83</f>
        <v>1.6628269250666121E-2</v>
      </c>
      <c r="M83" s="173">
        <f t="shared" si="7"/>
        <v>1.390528931970967E-3</v>
      </c>
      <c r="N83" s="174">
        <f t="shared" si="8"/>
        <v>1.8018798182637089E-2</v>
      </c>
      <c r="O83" s="173">
        <f t="shared" si="9"/>
        <v>0</v>
      </c>
      <c r="P83" s="173">
        <f t="shared" si="10"/>
        <v>0</v>
      </c>
      <c r="Q83" s="173">
        <v>0</v>
      </c>
      <c r="R83" s="174">
        <f t="shared" si="11"/>
        <v>1.8018798182637089E-2</v>
      </c>
    </row>
    <row r="84" spans="1:18" ht="12" customHeight="1" x14ac:dyDescent="0.25">
      <c r="A84" s="131">
        <v>5</v>
      </c>
      <c r="B84" s="166">
        <f t="shared" si="4"/>
        <v>45413</v>
      </c>
      <c r="C84" s="186">
        <f t="shared" si="25"/>
        <v>45448</v>
      </c>
      <c r="D84" s="186">
        <f t="shared" si="25"/>
        <v>45467</v>
      </c>
      <c r="E84" s="52" t="s">
        <v>9</v>
      </c>
      <c r="F84" s="131">
        <v>9</v>
      </c>
      <c r="G84" s="168">
        <v>50</v>
      </c>
      <c r="H84" s="169">
        <f t="shared" si="5"/>
        <v>9.2845976559737667E-5</v>
      </c>
      <c r="I84" s="169">
        <f t="shared" si="22"/>
        <v>4.7954991262174045E-4</v>
      </c>
      <c r="J84" s="170">
        <f t="shared" si="2"/>
        <v>2.3977495631087024E-2</v>
      </c>
      <c r="K84" s="171">
        <f t="shared" si="13"/>
        <v>4.6422988279868835E-3</v>
      </c>
      <c r="L84" s="172">
        <f t="shared" si="26"/>
        <v>1.9335196803100141E-2</v>
      </c>
      <c r="M84" s="173">
        <f t="shared" si="7"/>
        <v>1.6168941069429851E-3</v>
      </c>
      <c r="N84" s="174">
        <f t="shared" si="8"/>
        <v>2.0952090910043127E-2</v>
      </c>
      <c r="O84" s="173">
        <f t="shared" si="9"/>
        <v>0</v>
      </c>
      <c r="P84" s="173">
        <f t="shared" si="10"/>
        <v>0</v>
      </c>
      <c r="Q84" s="173">
        <v>0</v>
      </c>
      <c r="R84" s="174">
        <f t="shared" si="11"/>
        <v>2.0952090910043127E-2</v>
      </c>
    </row>
    <row r="85" spans="1:18" x14ac:dyDescent="0.25">
      <c r="A85" s="131">
        <v>6</v>
      </c>
      <c r="B85" s="166">
        <f t="shared" si="4"/>
        <v>45444</v>
      </c>
      <c r="C85" s="186">
        <f t="shared" si="25"/>
        <v>45476</v>
      </c>
      <c r="D85" s="186">
        <f t="shared" si="25"/>
        <v>45497</v>
      </c>
      <c r="E85" s="52" t="s">
        <v>9</v>
      </c>
      <c r="F85" s="131">
        <v>9</v>
      </c>
      <c r="G85" s="168">
        <v>59</v>
      </c>
      <c r="H85" s="169">
        <f t="shared" ref="H85:H91" si="27">+$K$3</f>
        <v>9.2845976559737667E-5</v>
      </c>
      <c r="I85" s="169">
        <f t="shared" si="22"/>
        <v>4.7954991262174045E-4</v>
      </c>
      <c r="J85" s="170">
        <f t="shared" si="2"/>
        <v>2.8293444844682686E-2</v>
      </c>
      <c r="K85" s="171">
        <f t="shared" si="13"/>
        <v>5.4779126170245223E-3</v>
      </c>
      <c r="L85" s="176">
        <f t="shared" si="26"/>
        <v>2.2815532227658163E-2</v>
      </c>
      <c r="M85" s="173">
        <f t="shared" ref="M85:M148" si="28">G85/$G$212*$M$14</f>
        <v>1.9079350461927223E-3</v>
      </c>
      <c r="N85" s="174">
        <f t="shared" ref="N85:N148" si="29">SUM(L85:M85)</f>
        <v>2.4723467273850885E-2</v>
      </c>
      <c r="O85" s="173">
        <f t="shared" ref="O85:O148" si="30">+$P$3</f>
        <v>0</v>
      </c>
      <c r="P85" s="173">
        <f t="shared" ref="P85:P148" si="31">+G85*O85</f>
        <v>0</v>
      </c>
      <c r="Q85" s="173">
        <v>0</v>
      </c>
      <c r="R85" s="174">
        <f t="shared" ref="R85:R148" si="32">+N85-Q85</f>
        <v>2.4723467273850885E-2</v>
      </c>
    </row>
    <row r="86" spans="1:18" x14ac:dyDescent="0.25">
      <c r="A86" s="94">
        <v>7</v>
      </c>
      <c r="B86" s="166">
        <f t="shared" si="4"/>
        <v>45474</v>
      </c>
      <c r="C86" s="186">
        <f t="shared" si="25"/>
        <v>45509</v>
      </c>
      <c r="D86" s="186">
        <f t="shared" si="25"/>
        <v>45530</v>
      </c>
      <c r="E86" s="52" t="s">
        <v>9</v>
      </c>
      <c r="F86" s="131">
        <v>9</v>
      </c>
      <c r="G86" s="168">
        <v>60</v>
      </c>
      <c r="H86" s="169">
        <f t="shared" si="27"/>
        <v>9.2845976559737667E-5</v>
      </c>
      <c r="I86" s="169">
        <f t="shared" si="22"/>
        <v>4.7954991262174045E-4</v>
      </c>
      <c r="J86" s="170">
        <f t="shared" si="2"/>
        <v>2.8772994757304427E-2</v>
      </c>
      <c r="K86" s="177">
        <f t="shared" si="13"/>
        <v>5.5707585935842602E-3</v>
      </c>
      <c r="L86" s="176">
        <f t="shared" si="26"/>
        <v>2.3202236163720167E-2</v>
      </c>
      <c r="M86" s="173">
        <f t="shared" si="28"/>
        <v>1.940272928331582E-3</v>
      </c>
      <c r="N86" s="174">
        <f t="shared" si="29"/>
        <v>2.5142509092051749E-2</v>
      </c>
      <c r="O86" s="173">
        <f t="shared" si="30"/>
        <v>0</v>
      </c>
      <c r="P86" s="173">
        <f t="shared" si="31"/>
        <v>0</v>
      </c>
      <c r="Q86" s="173">
        <v>0</v>
      </c>
      <c r="R86" s="174">
        <f t="shared" si="32"/>
        <v>2.5142509092051749E-2</v>
      </c>
    </row>
    <row r="87" spans="1:18" x14ac:dyDescent="0.25">
      <c r="A87" s="131">
        <v>8</v>
      </c>
      <c r="B87" s="166">
        <f t="shared" si="4"/>
        <v>45505</v>
      </c>
      <c r="C87" s="186">
        <f t="shared" si="25"/>
        <v>45539</v>
      </c>
      <c r="D87" s="186">
        <f t="shared" si="25"/>
        <v>45559</v>
      </c>
      <c r="E87" s="52" t="s">
        <v>9</v>
      </c>
      <c r="F87" s="131">
        <v>9</v>
      </c>
      <c r="G87" s="168">
        <v>56</v>
      </c>
      <c r="H87" s="169">
        <f t="shared" si="27"/>
        <v>9.2845976559737667E-5</v>
      </c>
      <c r="I87" s="169">
        <f t="shared" si="22"/>
        <v>4.7954991262174045E-4</v>
      </c>
      <c r="J87" s="170">
        <f t="shared" si="2"/>
        <v>2.6854795106817465E-2</v>
      </c>
      <c r="K87" s="177">
        <f t="shared" si="13"/>
        <v>5.1993746873453097E-3</v>
      </c>
      <c r="L87" s="176">
        <f t="shared" si="26"/>
        <v>2.1655420419472157E-2</v>
      </c>
      <c r="M87" s="173">
        <f t="shared" si="28"/>
        <v>1.8109213997761432E-3</v>
      </c>
      <c r="N87" s="174">
        <f t="shared" si="29"/>
        <v>2.3466341819248299E-2</v>
      </c>
      <c r="O87" s="173">
        <f t="shared" si="30"/>
        <v>0</v>
      </c>
      <c r="P87" s="173">
        <f t="shared" si="31"/>
        <v>0</v>
      </c>
      <c r="Q87" s="173">
        <v>0</v>
      </c>
      <c r="R87" s="174">
        <f t="shared" si="32"/>
        <v>2.3466341819248299E-2</v>
      </c>
    </row>
    <row r="88" spans="1:18" x14ac:dyDescent="0.25">
      <c r="A88" s="131">
        <v>9</v>
      </c>
      <c r="B88" s="166">
        <f t="shared" si="4"/>
        <v>45536</v>
      </c>
      <c r="C88" s="186">
        <f t="shared" si="25"/>
        <v>45568</v>
      </c>
      <c r="D88" s="186">
        <f t="shared" si="25"/>
        <v>45589</v>
      </c>
      <c r="E88" s="52" t="s">
        <v>9</v>
      </c>
      <c r="F88" s="131">
        <v>9</v>
      </c>
      <c r="G88" s="168">
        <v>55</v>
      </c>
      <c r="H88" s="169">
        <f t="shared" si="27"/>
        <v>9.2845976559737667E-5</v>
      </c>
      <c r="I88" s="169">
        <f t="shared" si="22"/>
        <v>4.7954991262174045E-4</v>
      </c>
      <c r="J88" s="170">
        <f t="shared" si="2"/>
        <v>2.6375245194195724E-2</v>
      </c>
      <c r="K88" s="177">
        <f t="shared" si="13"/>
        <v>5.1065287107855718E-3</v>
      </c>
      <c r="L88" s="176">
        <f t="shared" si="26"/>
        <v>2.1268716483410152E-2</v>
      </c>
      <c r="M88" s="173">
        <f t="shared" si="28"/>
        <v>1.7785835176372833E-3</v>
      </c>
      <c r="N88" s="174">
        <f t="shared" si="29"/>
        <v>2.3047300001047436E-2</v>
      </c>
      <c r="O88" s="173">
        <f t="shared" si="30"/>
        <v>0</v>
      </c>
      <c r="P88" s="173">
        <f t="shared" si="31"/>
        <v>0</v>
      </c>
      <c r="Q88" s="173">
        <v>0</v>
      </c>
      <c r="R88" s="174">
        <f t="shared" si="32"/>
        <v>2.3047300001047436E-2</v>
      </c>
    </row>
    <row r="89" spans="1:18" x14ac:dyDescent="0.25">
      <c r="A89" s="94">
        <v>10</v>
      </c>
      <c r="B89" s="166">
        <f t="shared" si="4"/>
        <v>45566</v>
      </c>
      <c r="C89" s="186">
        <f t="shared" si="25"/>
        <v>45601</v>
      </c>
      <c r="D89" s="186">
        <f t="shared" si="25"/>
        <v>45621</v>
      </c>
      <c r="E89" s="52" t="s">
        <v>9</v>
      </c>
      <c r="F89" s="131">
        <v>9</v>
      </c>
      <c r="G89" s="168">
        <v>51</v>
      </c>
      <c r="H89" s="169">
        <f t="shared" si="27"/>
        <v>9.2845976559737667E-5</v>
      </c>
      <c r="I89" s="169">
        <f t="shared" si="22"/>
        <v>4.7954991262174045E-4</v>
      </c>
      <c r="J89" s="170">
        <f t="shared" si="2"/>
        <v>2.4457045543708762E-2</v>
      </c>
      <c r="K89" s="177">
        <f t="shared" si="13"/>
        <v>4.7351448045466213E-3</v>
      </c>
      <c r="L89" s="176">
        <f t="shared" si="26"/>
        <v>1.9721900739162142E-2</v>
      </c>
      <c r="M89" s="173">
        <f t="shared" si="28"/>
        <v>1.6492319890818446E-3</v>
      </c>
      <c r="N89" s="174">
        <f t="shared" si="29"/>
        <v>2.1371132728243987E-2</v>
      </c>
      <c r="O89" s="173">
        <f t="shared" si="30"/>
        <v>0</v>
      </c>
      <c r="P89" s="173">
        <f t="shared" si="31"/>
        <v>0</v>
      </c>
      <c r="Q89" s="173">
        <v>0</v>
      </c>
      <c r="R89" s="174">
        <f t="shared" si="32"/>
        <v>2.1371132728243987E-2</v>
      </c>
    </row>
    <row r="90" spans="1:18" x14ac:dyDescent="0.25">
      <c r="A90" s="131">
        <v>11</v>
      </c>
      <c r="B90" s="166">
        <f t="shared" si="4"/>
        <v>45597</v>
      </c>
      <c r="C90" s="186">
        <f t="shared" si="25"/>
        <v>45630</v>
      </c>
      <c r="D90" s="186">
        <f t="shared" si="25"/>
        <v>45650</v>
      </c>
      <c r="E90" s="52" t="s">
        <v>9</v>
      </c>
      <c r="F90" s="131">
        <v>9</v>
      </c>
      <c r="G90" s="168">
        <v>40</v>
      </c>
      <c r="H90" s="169">
        <f t="shared" si="27"/>
        <v>9.2845976559737667E-5</v>
      </c>
      <c r="I90" s="169">
        <f t="shared" si="22"/>
        <v>4.7954991262174045E-4</v>
      </c>
      <c r="J90" s="170">
        <f t="shared" si="2"/>
        <v>1.9181996504869618E-2</v>
      </c>
      <c r="K90" s="177">
        <f t="shared" si="13"/>
        <v>3.7138390623895068E-3</v>
      </c>
      <c r="L90" s="176">
        <f t="shared" si="26"/>
        <v>1.5468157442480111E-2</v>
      </c>
      <c r="M90" s="173">
        <f t="shared" si="28"/>
        <v>1.2935152855543882E-3</v>
      </c>
      <c r="N90" s="174">
        <f t="shared" si="29"/>
        <v>1.6761672728034499E-2</v>
      </c>
      <c r="O90" s="173">
        <f t="shared" si="30"/>
        <v>0</v>
      </c>
      <c r="P90" s="173">
        <f t="shared" si="31"/>
        <v>0</v>
      </c>
      <c r="Q90" s="173">
        <v>0</v>
      </c>
      <c r="R90" s="174">
        <f t="shared" si="32"/>
        <v>1.6761672728034499E-2</v>
      </c>
    </row>
    <row r="91" spans="1:18" s="190" customFormat="1" x14ac:dyDescent="0.25">
      <c r="A91" s="131">
        <v>12</v>
      </c>
      <c r="B91" s="188">
        <f t="shared" si="4"/>
        <v>45627</v>
      </c>
      <c r="C91" s="186">
        <f t="shared" si="25"/>
        <v>45660</v>
      </c>
      <c r="D91" s="186">
        <f t="shared" si="25"/>
        <v>45681</v>
      </c>
      <c r="E91" s="189" t="s">
        <v>9</v>
      </c>
      <c r="F91" s="142">
        <v>9</v>
      </c>
      <c r="G91" s="168">
        <v>51</v>
      </c>
      <c r="H91" s="178">
        <f t="shared" si="27"/>
        <v>9.2845976559737667E-5</v>
      </c>
      <c r="I91" s="178">
        <f t="shared" si="22"/>
        <v>4.7954991262174045E-4</v>
      </c>
      <c r="J91" s="179">
        <f t="shared" si="2"/>
        <v>2.4457045543708762E-2</v>
      </c>
      <c r="K91" s="180">
        <f t="shared" si="13"/>
        <v>4.7351448045466213E-3</v>
      </c>
      <c r="L91" s="181">
        <f t="shared" si="26"/>
        <v>1.9721900739162142E-2</v>
      </c>
      <c r="M91" s="173">
        <f t="shared" si="28"/>
        <v>1.6492319890818446E-3</v>
      </c>
      <c r="N91" s="174">
        <f t="shared" si="29"/>
        <v>2.1371132728243987E-2</v>
      </c>
      <c r="O91" s="173">
        <f t="shared" si="30"/>
        <v>0</v>
      </c>
      <c r="P91" s="173">
        <f t="shared" si="31"/>
        <v>0</v>
      </c>
      <c r="Q91" s="173">
        <v>0</v>
      </c>
      <c r="R91" s="174">
        <f t="shared" si="32"/>
        <v>2.1371132728243987E-2</v>
      </c>
    </row>
    <row r="92" spans="1:18" x14ac:dyDescent="0.25">
      <c r="A92" s="94">
        <v>1</v>
      </c>
      <c r="B92" s="166">
        <f t="shared" si="4"/>
        <v>45292</v>
      </c>
      <c r="C92" s="183">
        <f t="shared" ref="C92:D95" si="33">+C80</f>
        <v>45327</v>
      </c>
      <c r="D92" s="183">
        <f t="shared" si="33"/>
        <v>45348</v>
      </c>
      <c r="E92" s="167" t="s">
        <v>8</v>
      </c>
      <c r="F92" s="94">
        <v>9</v>
      </c>
      <c r="G92" s="168">
        <v>94</v>
      </c>
      <c r="H92" s="169">
        <f>+$K$3</f>
        <v>9.2845976559737667E-5</v>
      </c>
      <c r="I92" s="169">
        <f t="shared" si="22"/>
        <v>4.7954991262174045E-4</v>
      </c>
      <c r="J92" s="170">
        <f t="shared" si="2"/>
        <v>4.5077691786443601E-2</v>
      </c>
      <c r="K92" s="171">
        <f t="shared" si="13"/>
        <v>8.7275217966153399E-3</v>
      </c>
      <c r="L92" s="172">
        <f t="shared" si="26"/>
        <v>3.6350169989828263E-2</v>
      </c>
      <c r="M92" s="173">
        <f t="shared" si="28"/>
        <v>3.039760921052812E-3</v>
      </c>
      <c r="N92" s="174">
        <f t="shared" si="29"/>
        <v>3.9389930910881076E-2</v>
      </c>
      <c r="O92" s="173">
        <f t="shared" si="30"/>
        <v>0</v>
      </c>
      <c r="P92" s="173">
        <f t="shared" si="31"/>
        <v>0</v>
      </c>
      <c r="Q92" s="173">
        <v>0</v>
      </c>
      <c r="R92" s="174">
        <f t="shared" si="32"/>
        <v>3.9389930910881076E-2</v>
      </c>
    </row>
    <row r="93" spans="1:18" x14ac:dyDescent="0.25">
      <c r="A93" s="131">
        <v>2</v>
      </c>
      <c r="B93" s="166">
        <f t="shared" si="4"/>
        <v>45323</v>
      </c>
      <c r="C93" s="186">
        <f t="shared" si="33"/>
        <v>45356</v>
      </c>
      <c r="D93" s="186">
        <f t="shared" si="33"/>
        <v>45376</v>
      </c>
      <c r="E93" s="175" t="s">
        <v>8</v>
      </c>
      <c r="F93" s="131">
        <v>9</v>
      </c>
      <c r="G93" s="168">
        <v>62</v>
      </c>
      <c r="H93" s="169">
        <f t="shared" ref="H93:H103" si="34">+$K$3</f>
        <v>9.2845976559737667E-5</v>
      </c>
      <c r="I93" s="169">
        <f t="shared" si="22"/>
        <v>4.7954991262174045E-4</v>
      </c>
      <c r="J93" s="170">
        <f t="shared" si="2"/>
        <v>2.9732094582547906E-2</v>
      </c>
      <c r="K93" s="171">
        <f t="shared" si="13"/>
        <v>5.756450546703735E-3</v>
      </c>
      <c r="L93" s="172">
        <f t="shared" si="26"/>
        <v>2.3975644035844172E-2</v>
      </c>
      <c r="M93" s="173">
        <f t="shared" si="28"/>
        <v>2.0049486926093014E-3</v>
      </c>
      <c r="N93" s="174">
        <f t="shared" si="29"/>
        <v>2.5980592728453475E-2</v>
      </c>
      <c r="O93" s="173">
        <f t="shared" si="30"/>
        <v>0</v>
      </c>
      <c r="P93" s="173">
        <f t="shared" si="31"/>
        <v>0</v>
      </c>
      <c r="Q93" s="173">
        <v>0</v>
      </c>
      <c r="R93" s="174">
        <f t="shared" si="32"/>
        <v>2.5980592728453475E-2</v>
      </c>
    </row>
    <row r="94" spans="1:18" x14ac:dyDescent="0.25">
      <c r="A94" s="131">
        <v>3</v>
      </c>
      <c r="B94" s="166">
        <f t="shared" si="4"/>
        <v>45352</v>
      </c>
      <c r="C94" s="186">
        <f t="shared" si="33"/>
        <v>45385</v>
      </c>
      <c r="D94" s="186">
        <f t="shared" si="33"/>
        <v>45406</v>
      </c>
      <c r="E94" s="175" t="s">
        <v>8</v>
      </c>
      <c r="F94" s="131">
        <v>9</v>
      </c>
      <c r="G94" s="168">
        <v>60</v>
      </c>
      <c r="H94" s="169">
        <f t="shared" si="34"/>
        <v>9.2845976559737667E-5</v>
      </c>
      <c r="I94" s="169">
        <f t="shared" si="22"/>
        <v>4.7954991262174045E-4</v>
      </c>
      <c r="J94" s="170">
        <f t="shared" si="2"/>
        <v>2.8772994757304427E-2</v>
      </c>
      <c r="K94" s="171">
        <f t="shared" ref="K94:K133" si="35">+$G94*H94</f>
        <v>5.5707585935842602E-3</v>
      </c>
      <c r="L94" s="172">
        <f>+J94-K94</f>
        <v>2.3202236163720167E-2</v>
      </c>
      <c r="M94" s="173">
        <f t="shared" si="28"/>
        <v>1.940272928331582E-3</v>
      </c>
      <c r="N94" s="174">
        <f t="shared" si="29"/>
        <v>2.5142509092051749E-2</v>
      </c>
      <c r="O94" s="173">
        <f t="shared" si="30"/>
        <v>0</v>
      </c>
      <c r="P94" s="173">
        <f t="shared" si="31"/>
        <v>0</v>
      </c>
      <c r="Q94" s="173">
        <v>0</v>
      </c>
      <c r="R94" s="174">
        <f t="shared" si="32"/>
        <v>2.5142509092051749E-2</v>
      </c>
    </row>
    <row r="95" spans="1:18" x14ac:dyDescent="0.25">
      <c r="A95" s="94">
        <v>4</v>
      </c>
      <c r="B95" s="166">
        <f t="shared" si="4"/>
        <v>45383</v>
      </c>
      <c r="C95" s="186">
        <f t="shared" si="33"/>
        <v>45415</v>
      </c>
      <c r="D95" s="186">
        <f t="shared" si="33"/>
        <v>45436</v>
      </c>
      <c r="E95" s="175" t="s">
        <v>8</v>
      </c>
      <c r="F95" s="131">
        <v>9</v>
      </c>
      <c r="G95" s="168">
        <v>92</v>
      </c>
      <c r="H95" s="169">
        <f t="shared" si="34"/>
        <v>9.2845976559737667E-5</v>
      </c>
      <c r="I95" s="169">
        <f t="shared" si="22"/>
        <v>4.7954991262174045E-4</v>
      </c>
      <c r="J95" s="170">
        <f t="shared" si="2"/>
        <v>4.4118591961200118E-2</v>
      </c>
      <c r="K95" s="171">
        <f t="shared" si="35"/>
        <v>8.541829843495866E-3</v>
      </c>
      <c r="L95" s="172">
        <f t="shared" ref="L95:L105" si="36">+J95-K95</f>
        <v>3.5576762117704254E-2</v>
      </c>
      <c r="M95" s="173">
        <f t="shared" si="28"/>
        <v>2.9750851567750922E-3</v>
      </c>
      <c r="N95" s="174">
        <f t="shared" si="29"/>
        <v>3.8551847274479349E-2</v>
      </c>
      <c r="O95" s="173">
        <f t="shared" si="30"/>
        <v>0</v>
      </c>
      <c r="P95" s="173">
        <f t="shared" si="31"/>
        <v>0</v>
      </c>
      <c r="Q95" s="173">
        <v>0</v>
      </c>
      <c r="R95" s="174">
        <f t="shared" si="32"/>
        <v>3.8551847274479349E-2</v>
      </c>
    </row>
    <row r="96" spans="1:18" x14ac:dyDescent="0.25">
      <c r="A96" s="131">
        <v>5</v>
      </c>
      <c r="B96" s="166">
        <f t="shared" si="4"/>
        <v>45413</v>
      </c>
      <c r="C96" s="186">
        <f t="shared" ref="C96:D116" si="37">+C84</f>
        <v>45448</v>
      </c>
      <c r="D96" s="186">
        <f t="shared" si="37"/>
        <v>45467</v>
      </c>
      <c r="E96" s="52" t="s">
        <v>8</v>
      </c>
      <c r="F96" s="131">
        <v>9</v>
      </c>
      <c r="G96" s="168">
        <v>118</v>
      </c>
      <c r="H96" s="169">
        <f t="shared" si="34"/>
        <v>9.2845976559737667E-5</v>
      </c>
      <c r="I96" s="169">
        <f t="shared" si="22"/>
        <v>4.7954991262174045E-4</v>
      </c>
      <c r="J96" s="170">
        <f t="shared" si="2"/>
        <v>5.6586889689365372E-2</v>
      </c>
      <c r="K96" s="171">
        <f t="shared" si="35"/>
        <v>1.0955825234049045E-2</v>
      </c>
      <c r="L96" s="172">
        <f t="shared" si="36"/>
        <v>4.5631064455316325E-2</v>
      </c>
      <c r="M96" s="173">
        <f t="shared" si="28"/>
        <v>3.8158700923854446E-3</v>
      </c>
      <c r="N96" s="174">
        <f t="shared" si="29"/>
        <v>4.9446934547701771E-2</v>
      </c>
      <c r="O96" s="173">
        <f t="shared" si="30"/>
        <v>0</v>
      </c>
      <c r="P96" s="173">
        <f t="shared" si="31"/>
        <v>0</v>
      </c>
      <c r="Q96" s="173">
        <v>0</v>
      </c>
      <c r="R96" s="174">
        <f t="shared" si="32"/>
        <v>4.9446934547701771E-2</v>
      </c>
    </row>
    <row r="97" spans="1:18" x14ac:dyDescent="0.25">
      <c r="A97" s="131">
        <v>6</v>
      </c>
      <c r="B97" s="166">
        <f t="shared" si="4"/>
        <v>45444</v>
      </c>
      <c r="C97" s="186">
        <f t="shared" si="37"/>
        <v>45476</v>
      </c>
      <c r="D97" s="186">
        <f t="shared" si="37"/>
        <v>45497</v>
      </c>
      <c r="E97" s="52" t="s">
        <v>8</v>
      </c>
      <c r="F97" s="131">
        <v>9</v>
      </c>
      <c r="G97" s="168">
        <v>143</v>
      </c>
      <c r="H97" s="169">
        <f t="shared" si="34"/>
        <v>9.2845976559737667E-5</v>
      </c>
      <c r="I97" s="169">
        <f t="shared" si="22"/>
        <v>4.7954991262174045E-4</v>
      </c>
      <c r="J97" s="170">
        <f t="shared" si="2"/>
        <v>6.8575637504908887E-2</v>
      </c>
      <c r="K97" s="171">
        <f t="shared" si="35"/>
        <v>1.3276974648042486E-2</v>
      </c>
      <c r="L97" s="176">
        <f t="shared" si="36"/>
        <v>5.5298662856866403E-2</v>
      </c>
      <c r="M97" s="173">
        <f t="shared" si="28"/>
        <v>4.624317145856937E-3</v>
      </c>
      <c r="N97" s="174">
        <f t="shared" si="29"/>
        <v>5.9922980002723336E-2</v>
      </c>
      <c r="O97" s="173">
        <f t="shared" si="30"/>
        <v>0</v>
      </c>
      <c r="P97" s="173">
        <f t="shared" si="31"/>
        <v>0</v>
      </c>
      <c r="Q97" s="173">
        <v>0</v>
      </c>
      <c r="R97" s="174">
        <f t="shared" si="32"/>
        <v>5.9922980002723336E-2</v>
      </c>
    </row>
    <row r="98" spans="1:18" x14ac:dyDescent="0.25">
      <c r="A98" s="94">
        <v>7</v>
      </c>
      <c r="B98" s="166">
        <f t="shared" si="4"/>
        <v>45474</v>
      </c>
      <c r="C98" s="186">
        <f t="shared" si="37"/>
        <v>45509</v>
      </c>
      <c r="D98" s="186">
        <f t="shared" si="37"/>
        <v>45530</v>
      </c>
      <c r="E98" s="52" t="s">
        <v>8</v>
      </c>
      <c r="F98" s="131">
        <v>9</v>
      </c>
      <c r="G98" s="168">
        <v>151</v>
      </c>
      <c r="H98" s="169">
        <f t="shared" si="34"/>
        <v>9.2845976559737667E-5</v>
      </c>
      <c r="I98" s="169">
        <f t="shared" si="22"/>
        <v>4.7954991262174045E-4</v>
      </c>
      <c r="J98" s="170">
        <f t="shared" si="2"/>
        <v>7.2412036805882804E-2</v>
      </c>
      <c r="K98" s="177">
        <f t="shared" si="35"/>
        <v>1.4019742460520387E-2</v>
      </c>
      <c r="L98" s="176">
        <f t="shared" si="36"/>
        <v>5.8392294345362417E-2</v>
      </c>
      <c r="M98" s="173">
        <f t="shared" si="28"/>
        <v>4.8830202029678145E-3</v>
      </c>
      <c r="N98" s="174">
        <f t="shared" si="29"/>
        <v>6.3275314548330228E-2</v>
      </c>
      <c r="O98" s="173">
        <f t="shared" si="30"/>
        <v>0</v>
      </c>
      <c r="P98" s="173">
        <f t="shared" si="31"/>
        <v>0</v>
      </c>
      <c r="Q98" s="173">
        <v>0</v>
      </c>
      <c r="R98" s="174">
        <f t="shared" si="32"/>
        <v>6.3275314548330228E-2</v>
      </c>
    </row>
    <row r="99" spans="1:18" x14ac:dyDescent="0.25">
      <c r="A99" s="131">
        <v>8</v>
      </c>
      <c r="B99" s="166">
        <f t="shared" si="4"/>
        <v>45505</v>
      </c>
      <c r="C99" s="186">
        <f t="shared" si="37"/>
        <v>45539</v>
      </c>
      <c r="D99" s="186">
        <f t="shared" si="37"/>
        <v>45559</v>
      </c>
      <c r="E99" s="52" t="s">
        <v>8</v>
      </c>
      <c r="F99" s="131">
        <v>9</v>
      </c>
      <c r="G99" s="168">
        <v>157</v>
      </c>
      <c r="H99" s="169">
        <f t="shared" si="34"/>
        <v>9.2845976559737667E-5</v>
      </c>
      <c r="I99" s="169">
        <f t="shared" si="22"/>
        <v>4.7954991262174045E-4</v>
      </c>
      <c r="J99" s="170">
        <f t="shared" si="2"/>
        <v>7.5289336281613245E-2</v>
      </c>
      <c r="K99" s="177">
        <f t="shared" si="35"/>
        <v>1.4576818319878814E-2</v>
      </c>
      <c r="L99" s="176">
        <f t="shared" si="36"/>
        <v>6.0712517961734429E-2</v>
      </c>
      <c r="M99" s="173">
        <f t="shared" si="28"/>
        <v>5.0770474958009727E-3</v>
      </c>
      <c r="N99" s="174">
        <f t="shared" si="29"/>
        <v>6.5789565457535407E-2</v>
      </c>
      <c r="O99" s="173">
        <f t="shared" si="30"/>
        <v>0</v>
      </c>
      <c r="P99" s="173">
        <f t="shared" si="31"/>
        <v>0</v>
      </c>
      <c r="Q99" s="173">
        <v>0</v>
      </c>
      <c r="R99" s="174">
        <f t="shared" si="32"/>
        <v>6.5789565457535407E-2</v>
      </c>
    </row>
    <row r="100" spans="1:18" x14ac:dyDescent="0.25">
      <c r="A100" s="131">
        <v>9</v>
      </c>
      <c r="B100" s="166">
        <f t="shared" si="4"/>
        <v>45536</v>
      </c>
      <c r="C100" s="186">
        <f t="shared" si="37"/>
        <v>45568</v>
      </c>
      <c r="D100" s="186">
        <f t="shared" si="37"/>
        <v>45589</v>
      </c>
      <c r="E100" s="52" t="s">
        <v>8</v>
      </c>
      <c r="F100" s="131">
        <v>9</v>
      </c>
      <c r="G100" s="168">
        <v>146</v>
      </c>
      <c r="H100" s="169">
        <f t="shared" si="34"/>
        <v>9.2845976559737667E-5</v>
      </c>
      <c r="I100" s="169">
        <f t="shared" si="22"/>
        <v>4.7954991262174045E-4</v>
      </c>
      <c r="J100" s="170">
        <f t="shared" si="2"/>
        <v>7.0014287242774101E-2</v>
      </c>
      <c r="K100" s="177">
        <f t="shared" si="35"/>
        <v>1.3555512577721699E-2</v>
      </c>
      <c r="L100" s="176">
        <f t="shared" si="36"/>
        <v>5.6458774665052405E-2</v>
      </c>
      <c r="M100" s="173">
        <f t="shared" si="28"/>
        <v>4.721330792273516E-3</v>
      </c>
      <c r="N100" s="174">
        <f t="shared" si="29"/>
        <v>6.1180105457325919E-2</v>
      </c>
      <c r="O100" s="173">
        <f t="shared" si="30"/>
        <v>0</v>
      </c>
      <c r="P100" s="173">
        <f t="shared" si="31"/>
        <v>0</v>
      </c>
      <c r="Q100" s="173">
        <v>0</v>
      </c>
      <c r="R100" s="174">
        <f t="shared" si="32"/>
        <v>6.1180105457325919E-2</v>
      </c>
    </row>
    <row r="101" spans="1:18" x14ac:dyDescent="0.25">
      <c r="A101" s="94">
        <v>10</v>
      </c>
      <c r="B101" s="166">
        <f t="shared" si="4"/>
        <v>45566</v>
      </c>
      <c r="C101" s="186">
        <f t="shared" si="37"/>
        <v>45601</v>
      </c>
      <c r="D101" s="186">
        <f t="shared" si="37"/>
        <v>45621</v>
      </c>
      <c r="E101" s="52" t="s">
        <v>8</v>
      </c>
      <c r="F101" s="131">
        <v>9</v>
      </c>
      <c r="G101" s="168">
        <v>116</v>
      </c>
      <c r="H101" s="169">
        <f t="shared" si="34"/>
        <v>9.2845976559737667E-5</v>
      </c>
      <c r="I101" s="169">
        <f t="shared" si="22"/>
        <v>4.7954991262174045E-4</v>
      </c>
      <c r="J101" s="170">
        <f t="shared" si="2"/>
        <v>5.5627789864121896E-2</v>
      </c>
      <c r="K101" s="177">
        <f t="shared" si="35"/>
        <v>1.0770133280929569E-2</v>
      </c>
      <c r="L101" s="176">
        <f t="shared" si="36"/>
        <v>4.4857656583192324E-2</v>
      </c>
      <c r="M101" s="173">
        <f t="shared" si="28"/>
        <v>3.7511943281077248E-3</v>
      </c>
      <c r="N101" s="174">
        <f t="shared" si="29"/>
        <v>4.8608850911300051E-2</v>
      </c>
      <c r="O101" s="173">
        <f t="shared" si="30"/>
        <v>0</v>
      </c>
      <c r="P101" s="173">
        <f t="shared" si="31"/>
        <v>0</v>
      </c>
      <c r="Q101" s="173">
        <v>0</v>
      </c>
      <c r="R101" s="174">
        <f t="shared" si="32"/>
        <v>4.8608850911300051E-2</v>
      </c>
    </row>
    <row r="102" spans="1:18" x14ac:dyDescent="0.25">
      <c r="A102" s="131">
        <v>11</v>
      </c>
      <c r="B102" s="166">
        <f t="shared" si="4"/>
        <v>45597</v>
      </c>
      <c r="C102" s="186">
        <f t="shared" si="37"/>
        <v>45630</v>
      </c>
      <c r="D102" s="186">
        <f t="shared" si="37"/>
        <v>45650</v>
      </c>
      <c r="E102" s="52" t="s">
        <v>8</v>
      </c>
      <c r="F102" s="131">
        <v>9</v>
      </c>
      <c r="G102" s="168">
        <v>62</v>
      </c>
      <c r="H102" s="169">
        <f t="shared" si="34"/>
        <v>9.2845976559737667E-5</v>
      </c>
      <c r="I102" s="169">
        <f t="shared" si="22"/>
        <v>4.7954991262174045E-4</v>
      </c>
      <c r="J102" s="170">
        <f t="shared" si="2"/>
        <v>2.9732094582547906E-2</v>
      </c>
      <c r="K102" s="177">
        <f t="shared" si="35"/>
        <v>5.756450546703735E-3</v>
      </c>
      <c r="L102" s="176">
        <f t="shared" si="36"/>
        <v>2.3975644035844172E-2</v>
      </c>
      <c r="M102" s="173">
        <f t="shared" si="28"/>
        <v>2.0049486926093014E-3</v>
      </c>
      <c r="N102" s="174">
        <f t="shared" si="29"/>
        <v>2.5980592728453475E-2</v>
      </c>
      <c r="O102" s="173">
        <f t="shared" si="30"/>
        <v>0</v>
      </c>
      <c r="P102" s="173">
        <f t="shared" si="31"/>
        <v>0</v>
      </c>
      <c r="Q102" s="173">
        <v>0</v>
      </c>
      <c r="R102" s="174">
        <f t="shared" si="32"/>
        <v>2.5980592728453475E-2</v>
      </c>
    </row>
    <row r="103" spans="1:18" s="190" customFormat="1" x14ac:dyDescent="0.25">
      <c r="A103" s="131">
        <v>12</v>
      </c>
      <c r="B103" s="188">
        <f t="shared" si="4"/>
        <v>45627</v>
      </c>
      <c r="C103" s="186">
        <f t="shared" si="37"/>
        <v>45660</v>
      </c>
      <c r="D103" s="186">
        <f t="shared" si="37"/>
        <v>45681</v>
      </c>
      <c r="E103" s="189" t="s">
        <v>8</v>
      </c>
      <c r="F103" s="142">
        <v>9</v>
      </c>
      <c r="G103" s="168">
        <v>77</v>
      </c>
      <c r="H103" s="178">
        <f t="shared" si="34"/>
        <v>9.2845976559737667E-5</v>
      </c>
      <c r="I103" s="178">
        <f t="shared" si="22"/>
        <v>4.7954991262174045E-4</v>
      </c>
      <c r="J103" s="179">
        <f t="shared" si="2"/>
        <v>3.6925343271874016E-2</v>
      </c>
      <c r="K103" s="180">
        <f t="shared" si="35"/>
        <v>7.1491401950998E-3</v>
      </c>
      <c r="L103" s="181">
        <f t="shared" si="36"/>
        <v>2.9776203076774217E-2</v>
      </c>
      <c r="M103" s="173">
        <f t="shared" si="28"/>
        <v>2.4900169246921968E-3</v>
      </c>
      <c r="N103" s="174">
        <f t="shared" si="29"/>
        <v>3.2266220001466416E-2</v>
      </c>
      <c r="O103" s="173">
        <f t="shared" si="30"/>
        <v>0</v>
      </c>
      <c r="P103" s="173">
        <f t="shared" si="31"/>
        <v>0</v>
      </c>
      <c r="Q103" s="173">
        <v>0</v>
      </c>
      <c r="R103" s="174">
        <f t="shared" si="32"/>
        <v>3.2266220001466416E-2</v>
      </c>
    </row>
    <row r="104" spans="1:18" x14ac:dyDescent="0.25">
      <c r="A104" s="94">
        <v>1</v>
      </c>
      <c r="B104" s="166">
        <f t="shared" si="4"/>
        <v>45292</v>
      </c>
      <c r="C104" s="183">
        <f t="shared" si="37"/>
        <v>45327</v>
      </c>
      <c r="D104" s="183">
        <f t="shared" si="37"/>
        <v>45348</v>
      </c>
      <c r="E104" s="167" t="s">
        <v>19</v>
      </c>
      <c r="F104" s="94">
        <v>9</v>
      </c>
      <c r="G104" s="168">
        <v>65</v>
      </c>
      <c r="H104" s="169">
        <f>+$K$3</f>
        <v>9.2845976559737667E-5</v>
      </c>
      <c r="I104" s="169">
        <f t="shared" si="22"/>
        <v>4.7954991262174045E-4</v>
      </c>
      <c r="J104" s="170">
        <f t="shared" si="2"/>
        <v>3.117074432041313E-2</v>
      </c>
      <c r="K104" s="171">
        <f t="shared" si="35"/>
        <v>6.0349884763829485E-3</v>
      </c>
      <c r="L104" s="172">
        <f t="shared" si="36"/>
        <v>2.5135755844030182E-2</v>
      </c>
      <c r="M104" s="173">
        <f t="shared" si="28"/>
        <v>2.1019623390258805E-3</v>
      </c>
      <c r="N104" s="174">
        <f t="shared" si="29"/>
        <v>2.7237718183056061E-2</v>
      </c>
      <c r="O104" s="173">
        <f t="shared" si="30"/>
        <v>0</v>
      </c>
      <c r="P104" s="173">
        <f t="shared" si="31"/>
        <v>0</v>
      </c>
      <c r="Q104" s="173">
        <v>0</v>
      </c>
      <c r="R104" s="174">
        <f t="shared" si="32"/>
        <v>2.7237718183056061E-2</v>
      </c>
    </row>
    <row r="105" spans="1:18" x14ac:dyDescent="0.25">
      <c r="A105" s="131">
        <v>2</v>
      </c>
      <c r="B105" s="166">
        <f t="shared" si="4"/>
        <v>45323</v>
      </c>
      <c r="C105" s="186">
        <f t="shared" si="37"/>
        <v>45356</v>
      </c>
      <c r="D105" s="186">
        <f t="shared" si="37"/>
        <v>45376</v>
      </c>
      <c r="E105" s="175" t="s">
        <v>19</v>
      </c>
      <c r="F105" s="131">
        <v>9</v>
      </c>
      <c r="G105" s="168">
        <v>65</v>
      </c>
      <c r="H105" s="169">
        <f t="shared" ref="H105:H115" si="38">+$K$3</f>
        <v>9.2845976559737667E-5</v>
      </c>
      <c r="I105" s="169">
        <f t="shared" si="22"/>
        <v>4.7954991262174045E-4</v>
      </c>
      <c r="J105" s="170">
        <f t="shared" si="2"/>
        <v>3.117074432041313E-2</v>
      </c>
      <c r="K105" s="171">
        <f t="shared" si="35"/>
        <v>6.0349884763829485E-3</v>
      </c>
      <c r="L105" s="172">
        <f t="shared" si="36"/>
        <v>2.5135755844030182E-2</v>
      </c>
      <c r="M105" s="173">
        <f t="shared" si="28"/>
        <v>2.1019623390258805E-3</v>
      </c>
      <c r="N105" s="174">
        <f t="shared" si="29"/>
        <v>2.7237718183056061E-2</v>
      </c>
      <c r="O105" s="173">
        <f t="shared" si="30"/>
        <v>0</v>
      </c>
      <c r="P105" s="173">
        <f t="shared" si="31"/>
        <v>0</v>
      </c>
      <c r="Q105" s="173">
        <v>0</v>
      </c>
      <c r="R105" s="174">
        <f t="shared" si="32"/>
        <v>2.7237718183056061E-2</v>
      </c>
    </row>
    <row r="106" spans="1:18" x14ac:dyDescent="0.25">
      <c r="A106" s="131">
        <v>3</v>
      </c>
      <c r="B106" s="166">
        <f t="shared" si="4"/>
        <v>45352</v>
      </c>
      <c r="C106" s="186">
        <f t="shared" si="37"/>
        <v>45385</v>
      </c>
      <c r="D106" s="186">
        <f t="shared" si="37"/>
        <v>45406</v>
      </c>
      <c r="E106" s="175" t="s">
        <v>19</v>
      </c>
      <c r="F106" s="131">
        <v>9</v>
      </c>
      <c r="G106" s="168">
        <v>64</v>
      </c>
      <c r="H106" s="169">
        <f t="shared" si="38"/>
        <v>9.2845976559737667E-5</v>
      </c>
      <c r="I106" s="169">
        <f t="shared" si="22"/>
        <v>4.7954991262174045E-4</v>
      </c>
      <c r="J106" s="170">
        <f t="shared" si="2"/>
        <v>3.0691194407791389E-2</v>
      </c>
      <c r="K106" s="171">
        <f t="shared" si="35"/>
        <v>5.9421424998232107E-3</v>
      </c>
      <c r="L106" s="172">
        <f>+J106-K106</f>
        <v>2.4749051907968177E-2</v>
      </c>
      <c r="M106" s="173">
        <f t="shared" si="28"/>
        <v>2.0696244568870208E-3</v>
      </c>
      <c r="N106" s="174">
        <f t="shared" si="29"/>
        <v>2.6818676364855198E-2</v>
      </c>
      <c r="O106" s="173">
        <f t="shared" si="30"/>
        <v>0</v>
      </c>
      <c r="P106" s="173">
        <f t="shared" si="31"/>
        <v>0</v>
      </c>
      <c r="Q106" s="173">
        <v>0</v>
      </c>
      <c r="R106" s="174">
        <f t="shared" si="32"/>
        <v>2.6818676364855198E-2</v>
      </c>
    </row>
    <row r="107" spans="1:18" x14ac:dyDescent="0.25">
      <c r="A107" s="94">
        <v>4</v>
      </c>
      <c r="B107" s="166">
        <f t="shared" si="4"/>
        <v>45383</v>
      </c>
      <c r="C107" s="186">
        <f t="shared" si="37"/>
        <v>45415</v>
      </c>
      <c r="D107" s="186">
        <f t="shared" si="37"/>
        <v>45436</v>
      </c>
      <c r="E107" s="52" t="s">
        <v>19</v>
      </c>
      <c r="F107" s="131">
        <v>9</v>
      </c>
      <c r="G107" s="168">
        <v>65</v>
      </c>
      <c r="H107" s="169">
        <f t="shared" si="38"/>
        <v>9.2845976559737667E-5</v>
      </c>
      <c r="I107" s="169">
        <f t="shared" si="22"/>
        <v>4.7954991262174045E-4</v>
      </c>
      <c r="J107" s="170">
        <f t="shared" si="2"/>
        <v>3.117074432041313E-2</v>
      </c>
      <c r="K107" s="171">
        <f t="shared" si="35"/>
        <v>6.0349884763829485E-3</v>
      </c>
      <c r="L107" s="172">
        <f t="shared" ref="L107:L115" si="39">+J107-K107</f>
        <v>2.5135755844030182E-2</v>
      </c>
      <c r="M107" s="173">
        <f t="shared" si="28"/>
        <v>2.1019623390258805E-3</v>
      </c>
      <c r="N107" s="174">
        <f t="shared" si="29"/>
        <v>2.7237718183056061E-2</v>
      </c>
      <c r="O107" s="173">
        <f t="shared" si="30"/>
        <v>0</v>
      </c>
      <c r="P107" s="173">
        <f t="shared" si="31"/>
        <v>0</v>
      </c>
      <c r="Q107" s="173">
        <v>0</v>
      </c>
      <c r="R107" s="174">
        <f t="shared" si="32"/>
        <v>2.7237718183056061E-2</v>
      </c>
    </row>
    <row r="108" spans="1:18" x14ac:dyDescent="0.25">
      <c r="A108" s="131">
        <v>5</v>
      </c>
      <c r="B108" s="166">
        <f t="shared" si="4"/>
        <v>45413</v>
      </c>
      <c r="C108" s="186">
        <f t="shared" si="37"/>
        <v>45448</v>
      </c>
      <c r="D108" s="186">
        <f t="shared" si="37"/>
        <v>45467</v>
      </c>
      <c r="E108" s="52" t="s">
        <v>19</v>
      </c>
      <c r="F108" s="131">
        <v>9</v>
      </c>
      <c r="G108" s="168">
        <v>51</v>
      </c>
      <c r="H108" s="169">
        <f t="shared" si="38"/>
        <v>9.2845976559737667E-5</v>
      </c>
      <c r="I108" s="169">
        <f t="shared" ref="I108:I127" si="40">$J$3</f>
        <v>4.7954991262174045E-4</v>
      </c>
      <c r="J108" s="170">
        <f t="shared" si="2"/>
        <v>2.4457045543708762E-2</v>
      </c>
      <c r="K108" s="171">
        <f t="shared" si="35"/>
        <v>4.7351448045466213E-3</v>
      </c>
      <c r="L108" s="172">
        <f t="shared" si="39"/>
        <v>1.9721900739162142E-2</v>
      </c>
      <c r="M108" s="173">
        <f t="shared" si="28"/>
        <v>1.6492319890818446E-3</v>
      </c>
      <c r="N108" s="174">
        <f t="shared" si="29"/>
        <v>2.1371132728243987E-2</v>
      </c>
      <c r="O108" s="173">
        <f t="shared" si="30"/>
        <v>0</v>
      </c>
      <c r="P108" s="173">
        <f t="shared" si="31"/>
        <v>0</v>
      </c>
      <c r="Q108" s="173">
        <v>0</v>
      </c>
      <c r="R108" s="174">
        <f t="shared" si="32"/>
        <v>2.1371132728243987E-2</v>
      </c>
    </row>
    <row r="109" spans="1:18" x14ac:dyDescent="0.25">
      <c r="A109" s="131">
        <v>6</v>
      </c>
      <c r="B109" s="166">
        <f t="shared" ref="B109:B148" si="41">DATE($R$1,A109,1)</f>
        <v>45444</v>
      </c>
      <c r="C109" s="186">
        <f t="shared" si="37"/>
        <v>45476</v>
      </c>
      <c r="D109" s="186">
        <f t="shared" si="37"/>
        <v>45497</v>
      </c>
      <c r="E109" s="52" t="s">
        <v>19</v>
      </c>
      <c r="F109" s="131">
        <v>9</v>
      </c>
      <c r="G109" s="168">
        <v>59</v>
      </c>
      <c r="H109" s="169">
        <f t="shared" si="38"/>
        <v>9.2845976559737667E-5</v>
      </c>
      <c r="I109" s="169">
        <f t="shared" si="40"/>
        <v>4.7954991262174045E-4</v>
      </c>
      <c r="J109" s="170">
        <f t="shared" ref="J109:J148" si="42">+$G109*I109</f>
        <v>2.8293444844682686E-2</v>
      </c>
      <c r="K109" s="171">
        <f t="shared" si="35"/>
        <v>5.4779126170245223E-3</v>
      </c>
      <c r="L109" s="176">
        <f t="shared" si="39"/>
        <v>2.2815532227658163E-2</v>
      </c>
      <c r="M109" s="173">
        <f t="shared" si="28"/>
        <v>1.9079350461927223E-3</v>
      </c>
      <c r="N109" s="174">
        <f t="shared" si="29"/>
        <v>2.4723467273850885E-2</v>
      </c>
      <c r="O109" s="173">
        <f t="shared" si="30"/>
        <v>0</v>
      </c>
      <c r="P109" s="173">
        <f t="shared" si="31"/>
        <v>0</v>
      </c>
      <c r="Q109" s="173">
        <v>0</v>
      </c>
      <c r="R109" s="174">
        <f t="shared" si="32"/>
        <v>2.4723467273850885E-2</v>
      </c>
    </row>
    <row r="110" spans="1:18" x14ac:dyDescent="0.25">
      <c r="A110" s="94">
        <v>7</v>
      </c>
      <c r="B110" s="166">
        <f t="shared" si="41"/>
        <v>45474</v>
      </c>
      <c r="C110" s="186">
        <f t="shared" si="37"/>
        <v>45509</v>
      </c>
      <c r="D110" s="186">
        <f t="shared" si="37"/>
        <v>45530</v>
      </c>
      <c r="E110" s="52" t="s">
        <v>19</v>
      </c>
      <c r="F110" s="131">
        <v>9</v>
      </c>
      <c r="G110" s="168">
        <v>67</v>
      </c>
      <c r="H110" s="169">
        <f t="shared" si="38"/>
        <v>9.2845976559737667E-5</v>
      </c>
      <c r="I110" s="169">
        <f t="shared" si="40"/>
        <v>4.7954991262174045E-4</v>
      </c>
      <c r="J110" s="170">
        <f t="shared" si="42"/>
        <v>3.2129844145656609E-2</v>
      </c>
      <c r="K110" s="177">
        <f t="shared" si="35"/>
        <v>6.2206804295024233E-3</v>
      </c>
      <c r="L110" s="176">
        <f t="shared" si="39"/>
        <v>2.5909163716154187E-2</v>
      </c>
      <c r="M110" s="173">
        <f t="shared" si="28"/>
        <v>2.1666381033035999E-3</v>
      </c>
      <c r="N110" s="174">
        <f t="shared" si="29"/>
        <v>2.8075801819457787E-2</v>
      </c>
      <c r="O110" s="173">
        <f t="shared" si="30"/>
        <v>0</v>
      </c>
      <c r="P110" s="173">
        <f t="shared" si="31"/>
        <v>0</v>
      </c>
      <c r="Q110" s="173">
        <v>0</v>
      </c>
      <c r="R110" s="174">
        <f t="shared" si="32"/>
        <v>2.8075801819457787E-2</v>
      </c>
    </row>
    <row r="111" spans="1:18" x14ac:dyDescent="0.25">
      <c r="A111" s="131">
        <v>8</v>
      </c>
      <c r="B111" s="166">
        <f t="shared" si="41"/>
        <v>45505</v>
      </c>
      <c r="C111" s="186">
        <f t="shared" si="37"/>
        <v>45539</v>
      </c>
      <c r="D111" s="186">
        <f t="shared" si="37"/>
        <v>45559</v>
      </c>
      <c r="E111" s="52" t="s">
        <v>19</v>
      </c>
      <c r="F111" s="131">
        <v>9</v>
      </c>
      <c r="G111" s="168">
        <v>70</v>
      </c>
      <c r="H111" s="169">
        <f t="shared" si="38"/>
        <v>9.2845976559737667E-5</v>
      </c>
      <c r="I111" s="169">
        <f t="shared" si="40"/>
        <v>4.7954991262174045E-4</v>
      </c>
      <c r="J111" s="170">
        <f t="shared" si="42"/>
        <v>3.356849388352183E-2</v>
      </c>
      <c r="K111" s="177">
        <f t="shared" si="35"/>
        <v>6.4992183591816369E-3</v>
      </c>
      <c r="L111" s="176">
        <f t="shared" si="39"/>
        <v>2.7069275524340193E-2</v>
      </c>
      <c r="M111" s="173">
        <f t="shared" si="28"/>
        <v>2.2636517497201789E-3</v>
      </c>
      <c r="N111" s="174">
        <f t="shared" si="29"/>
        <v>2.9332927274060373E-2</v>
      </c>
      <c r="O111" s="173">
        <f t="shared" si="30"/>
        <v>0</v>
      </c>
      <c r="P111" s="173">
        <f t="shared" si="31"/>
        <v>0</v>
      </c>
      <c r="Q111" s="173">
        <v>0</v>
      </c>
      <c r="R111" s="174">
        <f t="shared" si="32"/>
        <v>2.9332927274060373E-2</v>
      </c>
    </row>
    <row r="112" spans="1:18" x14ac:dyDescent="0.25">
      <c r="A112" s="131">
        <v>9</v>
      </c>
      <c r="B112" s="166">
        <f t="shared" si="41"/>
        <v>45536</v>
      </c>
      <c r="C112" s="186">
        <f t="shared" si="37"/>
        <v>45568</v>
      </c>
      <c r="D112" s="186">
        <f t="shared" si="37"/>
        <v>45589</v>
      </c>
      <c r="E112" s="52" t="s">
        <v>19</v>
      </c>
      <c r="F112" s="131">
        <v>9</v>
      </c>
      <c r="G112" s="168">
        <v>72</v>
      </c>
      <c r="H112" s="169">
        <f t="shared" si="38"/>
        <v>9.2845976559737667E-5</v>
      </c>
      <c r="I112" s="169">
        <f t="shared" si="40"/>
        <v>4.7954991262174045E-4</v>
      </c>
      <c r="J112" s="170">
        <f t="shared" si="42"/>
        <v>3.4527593708765313E-2</v>
      </c>
      <c r="K112" s="177">
        <f t="shared" si="35"/>
        <v>6.6849103123011117E-3</v>
      </c>
      <c r="L112" s="176">
        <f t="shared" si="39"/>
        <v>2.7842683396464202E-2</v>
      </c>
      <c r="M112" s="173">
        <f t="shared" si="28"/>
        <v>2.3283275139978983E-3</v>
      </c>
      <c r="N112" s="174">
        <f t="shared" si="29"/>
        <v>3.01710109104621E-2</v>
      </c>
      <c r="O112" s="173">
        <f t="shared" si="30"/>
        <v>0</v>
      </c>
      <c r="P112" s="173">
        <f t="shared" si="31"/>
        <v>0</v>
      </c>
      <c r="Q112" s="173">
        <v>0</v>
      </c>
      <c r="R112" s="174">
        <f t="shared" si="32"/>
        <v>3.01710109104621E-2</v>
      </c>
    </row>
    <row r="113" spans="1:18" x14ac:dyDescent="0.25">
      <c r="A113" s="94">
        <v>10</v>
      </c>
      <c r="B113" s="166">
        <f t="shared" si="41"/>
        <v>45566</v>
      </c>
      <c r="C113" s="186">
        <f t="shared" si="37"/>
        <v>45601</v>
      </c>
      <c r="D113" s="186">
        <f t="shared" si="37"/>
        <v>45621</v>
      </c>
      <c r="E113" s="52" t="s">
        <v>19</v>
      </c>
      <c r="F113" s="131">
        <v>9</v>
      </c>
      <c r="G113" s="168">
        <v>73</v>
      </c>
      <c r="H113" s="169">
        <f t="shared" si="38"/>
        <v>9.2845976559737667E-5</v>
      </c>
      <c r="I113" s="169">
        <f t="shared" si="40"/>
        <v>4.7954991262174045E-4</v>
      </c>
      <c r="J113" s="170">
        <f t="shared" si="42"/>
        <v>3.500714362138705E-2</v>
      </c>
      <c r="K113" s="177">
        <f t="shared" si="35"/>
        <v>6.7777562888608495E-3</v>
      </c>
      <c r="L113" s="176">
        <f t="shared" si="39"/>
        <v>2.8229387332526203E-2</v>
      </c>
      <c r="M113" s="173">
        <f t="shared" si="28"/>
        <v>2.360665396136758E-3</v>
      </c>
      <c r="N113" s="174">
        <f t="shared" si="29"/>
        <v>3.0590052728662959E-2</v>
      </c>
      <c r="O113" s="173">
        <f t="shared" si="30"/>
        <v>0</v>
      </c>
      <c r="P113" s="173">
        <f t="shared" si="31"/>
        <v>0</v>
      </c>
      <c r="Q113" s="173">
        <v>0</v>
      </c>
      <c r="R113" s="174">
        <f t="shared" si="32"/>
        <v>3.0590052728662959E-2</v>
      </c>
    </row>
    <row r="114" spans="1:18" x14ac:dyDescent="0.25">
      <c r="A114" s="131">
        <v>11</v>
      </c>
      <c r="B114" s="166">
        <f t="shared" si="41"/>
        <v>45597</v>
      </c>
      <c r="C114" s="186">
        <f t="shared" si="37"/>
        <v>45630</v>
      </c>
      <c r="D114" s="186">
        <f t="shared" si="37"/>
        <v>45650</v>
      </c>
      <c r="E114" s="52" t="s">
        <v>19</v>
      </c>
      <c r="F114" s="131">
        <v>9</v>
      </c>
      <c r="G114" s="168">
        <v>72</v>
      </c>
      <c r="H114" s="169">
        <f t="shared" si="38"/>
        <v>9.2845976559737667E-5</v>
      </c>
      <c r="I114" s="169">
        <f t="shared" si="40"/>
        <v>4.7954991262174045E-4</v>
      </c>
      <c r="J114" s="170">
        <f t="shared" si="42"/>
        <v>3.4527593708765313E-2</v>
      </c>
      <c r="K114" s="177">
        <f t="shared" si="35"/>
        <v>6.6849103123011117E-3</v>
      </c>
      <c r="L114" s="176">
        <f t="shared" si="39"/>
        <v>2.7842683396464202E-2</v>
      </c>
      <c r="M114" s="173">
        <f t="shared" si="28"/>
        <v>2.3283275139978983E-3</v>
      </c>
      <c r="N114" s="174">
        <f t="shared" si="29"/>
        <v>3.01710109104621E-2</v>
      </c>
      <c r="O114" s="173">
        <f t="shared" si="30"/>
        <v>0</v>
      </c>
      <c r="P114" s="173">
        <f t="shared" si="31"/>
        <v>0</v>
      </c>
      <c r="Q114" s="173">
        <v>0</v>
      </c>
      <c r="R114" s="174">
        <f t="shared" si="32"/>
        <v>3.01710109104621E-2</v>
      </c>
    </row>
    <row r="115" spans="1:18" s="190" customFormat="1" x14ac:dyDescent="0.25">
      <c r="A115" s="131">
        <v>12</v>
      </c>
      <c r="B115" s="188">
        <f t="shared" si="41"/>
        <v>45627</v>
      </c>
      <c r="C115" s="191">
        <f t="shared" si="37"/>
        <v>45660</v>
      </c>
      <c r="D115" s="191">
        <f t="shared" si="37"/>
        <v>45681</v>
      </c>
      <c r="E115" s="189" t="s">
        <v>19</v>
      </c>
      <c r="F115" s="142">
        <v>9</v>
      </c>
      <c r="G115" s="168">
        <v>65</v>
      </c>
      <c r="H115" s="178">
        <f t="shared" si="38"/>
        <v>9.2845976559737667E-5</v>
      </c>
      <c r="I115" s="178">
        <f t="shared" si="40"/>
        <v>4.7954991262174045E-4</v>
      </c>
      <c r="J115" s="179">
        <f t="shared" si="42"/>
        <v>3.117074432041313E-2</v>
      </c>
      <c r="K115" s="180">
        <f t="shared" si="35"/>
        <v>6.0349884763829485E-3</v>
      </c>
      <c r="L115" s="181">
        <f t="shared" si="39"/>
        <v>2.5135755844030182E-2</v>
      </c>
      <c r="M115" s="173">
        <f t="shared" si="28"/>
        <v>2.1019623390258805E-3</v>
      </c>
      <c r="N115" s="174">
        <f t="shared" si="29"/>
        <v>2.7237718183056061E-2</v>
      </c>
      <c r="O115" s="173">
        <f t="shared" si="30"/>
        <v>0</v>
      </c>
      <c r="P115" s="173">
        <f t="shared" si="31"/>
        <v>0</v>
      </c>
      <c r="Q115" s="173">
        <v>0</v>
      </c>
      <c r="R115" s="174">
        <f t="shared" si="32"/>
        <v>2.7237718183056061E-2</v>
      </c>
    </row>
    <row r="116" spans="1:18" x14ac:dyDescent="0.25">
      <c r="A116" s="94">
        <v>1</v>
      </c>
      <c r="B116" s="166">
        <f t="shared" si="41"/>
        <v>45292</v>
      </c>
      <c r="C116" s="186">
        <f t="shared" si="37"/>
        <v>45327</v>
      </c>
      <c r="D116" s="186">
        <f t="shared" si="37"/>
        <v>45348</v>
      </c>
      <c r="E116" s="167" t="s">
        <v>13</v>
      </c>
      <c r="F116" s="94">
        <v>9</v>
      </c>
      <c r="G116" s="168">
        <v>1452</v>
      </c>
      <c r="H116" s="169">
        <f>+$K$3</f>
        <v>9.2845976559737667E-5</v>
      </c>
      <c r="I116" s="169">
        <f t="shared" si="40"/>
        <v>4.7954991262174045E-4</v>
      </c>
      <c r="J116" s="170">
        <f t="shared" si="42"/>
        <v>0.69630647312676719</v>
      </c>
      <c r="K116" s="171">
        <f t="shared" si="35"/>
        <v>0.13481235796473909</v>
      </c>
      <c r="L116" s="172">
        <f>+J116-K116</f>
        <v>0.56149411516202807</v>
      </c>
      <c r="M116" s="173">
        <f t="shared" si="28"/>
        <v>4.6954604865624285E-2</v>
      </c>
      <c r="N116" s="174">
        <f t="shared" si="29"/>
        <v>0.60844872002765238</v>
      </c>
      <c r="O116" s="173">
        <f t="shared" si="30"/>
        <v>0</v>
      </c>
      <c r="P116" s="173">
        <f t="shared" si="31"/>
        <v>0</v>
      </c>
      <c r="Q116" s="173">
        <v>0</v>
      </c>
      <c r="R116" s="174">
        <f t="shared" si="32"/>
        <v>0.60844872002765238</v>
      </c>
    </row>
    <row r="117" spans="1:18" x14ac:dyDescent="0.25">
      <c r="A117" s="131">
        <v>2</v>
      </c>
      <c r="B117" s="166">
        <f t="shared" si="41"/>
        <v>45323</v>
      </c>
      <c r="C117" s="186">
        <f t="shared" ref="C117:D139" si="43">+C105</f>
        <v>45356</v>
      </c>
      <c r="D117" s="186">
        <f t="shared" si="43"/>
        <v>45376</v>
      </c>
      <c r="E117" s="175" t="s">
        <v>13</v>
      </c>
      <c r="F117" s="131">
        <v>9</v>
      </c>
      <c r="G117" s="168">
        <v>966</v>
      </c>
      <c r="H117" s="169">
        <f t="shared" ref="H117:H127" si="44">+$K$3</f>
        <v>9.2845976559737667E-5</v>
      </c>
      <c r="I117" s="169">
        <f t="shared" si="40"/>
        <v>4.7954991262174045E-4</v>
      </c>
      <c r="J117" s="170">
        <f t="shared" si="42"/>
        <v>0.46324521559260129</v>
      </c>
      <c r="K117" s="171">
        <f t="shared" si="35"/>
        <v>8.9689213356706585E-2</v>
      </c>
      <c r="L117" s="172">
        <f>+J117-K117</f>
        <v>0.37355600223589469</v>
      </c>
      <c r="M117" s="173">
        <f t="shared" si="28"/>
        <v>3.1238394146138469E-2</v>
      </c>
      <c r="N117" s="174">
        <f t="shared" si="29"/>
        <v>0.40479439638203318</v>
      </c>
      <c r="O117" s="173">
        <f t="shared" si="30"/>
        <v>0</v>
      </c>
      <c r="P117" s="173">
        <f t="shared" si="31"/>
        <v>0</v>
      </c>
      <c r="Q117" s="173">
        <v>0</v>
      </c>
      <c r="R117" s="174">
        <f t="shared" si="32"/>
        <v>0.40479439638203318</v>
      </c>
    </row>
    <row r="118" spans="1:18" x14ac:dyDescent="0.25">
      <c r="A118" s="131">
        <v>3</v>
      </c>
      <c r="B118" s="166">
        <f t="shared" si="41"/>
        <v>45352</v>
      </c>
      <c r="C118" s="186">
        <f t="shared" si="43"/>
        <v>45385</v>
      </c>
      <c r="D118" s="186">
        <f t="shared" si="43"/>
        <v>45406</v>
      </c>
      <c r="E118" s="175" t="s">
        <v>13</v>
      </c>
      <c r="F118" s="131">
        <v>9</v>
      </c>
      <c r="G118" s="168">
        <v>732</v>
      </c>
      <c r="H118" s="169">
        <f t="shared" si="44"/>
        <v>9.2845976559737667E-5</v>
      </c>
      <c r="I118" s="169">
        <f t="shared" si="40"/>
        <v>4.7954991262174045E-4</v>
      </c>
      <c r="J118" s="170">
        <f t="shared" si="42"/>
        <v>0.35103053603911399</v>
      </c>
      <c r="K118" s="171">
        <f t="shared" si="35"/>
        <v>6.7963254841727966E-2</v>
      </c>
      <c r="L118" s="172">
        <f>+J118-K118</f>
        <v>0.283067281197386</v>
      </c>
      <c r="M118" s="173">
        <f t="shared" si="28"/>
        <v>2.3671329725645302E-2</v>
      </c>
      <c r="N118" s="174">
        <f t="shared" si="29"/>
        <v>0.30673861092303129</v>
      </c>
      <c r="O118" s="173">
        <f t="shared" si="30"/>
        <v>0</v>
      </c>
      <c r="P118" s="173">
        <f t="shared" si="31"/>
        <v>0</v>
      </c>
      <c r="Q118" s="173">
        <v>0</v>
      </c>
      <c r="R118" s="174">
        <f t="shared" si="32"/>
        <v>0.30673861092303129</v>
      </c>
    </row>
    <row r="119" spans="1:18" x14ac:dyDescent="0.25">
      <c r="A119" s="94">
        <v>4</v>
      </c>
      <c r="B119" s="166">
        <f t="shared" si="41"/>
        <v>45383</v>
      </c>
      <c r="C119" s="186">
        <f t="shared" si="43"/>
        <v>45415</v>
      </c>
      <c r="D119" s="186">
        <f t="shared" si="43"/>
        <v>45436</v>
      </c>
      <c r="E119" s="52" t="s">
        <v>13</v>
      </c>
      <c r="F119" s="131">
        <v>9</v>
      </c>
      <c r="G119" s="168">
        <v>547</v>
      </c>
      <c r="H119" s="169">
        <f t="shared" si="44"/>
        <v>9.2845976559737667E-5</v>
      </c>
      <c r="I119" s="169">
        <f t="shared" si="40"/>
        <v>4.7954991262174045E-4</v>
      </c>
      <c r="J119" s="170">
        <f t="shared" si="42"/>
        <v>0.26231380220409201</v>
      </c>
      <c r="K119" s="171">
        <f t="shared" si="35"/>
        <v>5.07867491781765E-2</v>
      </c>
      <c r="L119" s="172">
        <f t="shared" ref="L119:L127" si="45">+J119-K119</f>
        <v>0.21152705302591551</v>
      </c>
      <c r="M119" s="173">
        <f t="shared" si="28"/>
        <v>1.7688821529956256E-2</v>
      </c>
      <c r="N119" s="174">
        <f t="shared" si="29"/>
        <v>0.22921587455587178</v>
      </c>
      <c r="O119" s="173">
        <f t="shared" si="30"/>
        <v>0</v>
      </c>
      <c r="P119" s="173">
        <f t="shared" si="31"/>
        <v>0</v>
      </c>
      <c r="Q119" s="173">
        <v>0</v>
      </c>
      <c r="R119" s="174">
        <f t="shared" si="32"/>
        <v>0.22921587455587178</v>
      </c>
    </row>
    <row r="120" spans="1:18" x14ac:dyDescent="0.25">
      <c r="A120" s="131">
        <v>5</v>
      </c>
      <c r="B120" s="166">
        <f t="shared" si="41"/>
        <v>45413</v>
      </c>
      <c r="C120" s="186">
        <f t="shared" si="43"/>
        <v>45448</v>
      </c>
      <c r="D120" s="186">
        <f t="shared" si="43"/>
        <v>45467</v>
      </c>
      <c r="E120" s="52" t="s">
        <v>13</v>
      </c>
      <c r="F120" s="131">
        <v>9</v>
      </c>
      <c r="G120" s="168">
        <v>747</v>
      </c>
      <c r="H120" s="169">
        <f t="shared" si="44"/>
        <v>9.2845976559737667E-5</v>
      </c>
      <c r="I120" s="169">
        <f t="shared" si="40"/>
        <v>4.7954991262174045E-4</v>
      </c>
      <c r="J120" s="170">
        <f t="shared" si="42"/>
        <v>0.35822378472844013</v>
      </c>
      <c r="K120" s="171">
        <f t="shared" si="35"/>
        <v>6.9355944490124041E-2</v>
      </c>
      <c r="L120" s="172">
        <f t="shared" si="45"/>
        <v>0.28886784023831608</v>
      </c>
      <c r="M120" s="173">
        <f t="shared" si="28"/>
        <v>2.4156397957728198E-2</v>
      </c>
      <c r="N120" s="174">
        <f t="shared" si="29"/>
        <v>0.3130242381960443</v>
      </c>
      <c r="O120" s="173">
        <f t="shared" si="30"/>
        <v>0</v>
      </c>
      <c r="P120" s="173">
        <f t="shared" si="31"/>
        <v>0</v>
      </c>
      <c r="Q120" s="173">
        <v>0</v>
      </c>
      <c r="R120" s="174">
        <f t="shared" si="32"/>
        <v>0.3130242381960443</v>
      </c>
    </row>
    <row r="121" spans="1:18" x14ac:dyDescent="0.25">
      <c r="A121" s="131">
        <v>6</v>
      </c>
      <c r="B121" s="166">
        <f t="shared" si="41"/>
        <v>45444</v>
      </c>
      <c r="C121" s="186">
        <f t="shared" si="43"/>
        <v>45476</v>
      </c>
      <c r="D121" s="186">
        <f t="shared" si="43"/>
        <v>45497</v>
      </c>
      <c r="E121" s="52" t="s">
        <v>13</v>
      </c>
      <c r="F121" s="131">
        <v>9</v>
      </c>
      <c r="G121" s="168">
        <v>917</v>
      </c>
      <c r="H121" s="169">
        <f t="shared" si="44"/>
        <v>9.2845976559737667E-5</v>
      </c>
      <c r="I121" s="169">
        <f t="shared" si="40"/>
        <v>4.7954991262174045E-4</v>
      </c>
      <c r="J121" s="170">
        <f t="shared" si="42"/>
        <v>0.43974726987413598</v>
      </c>
      <c r="K121" s="171">
        <f t="shared" si="35"/>
        <v>8.5139760505279438E-2</v>
      </c>
      <c r="L121" s="176">
        <f t="shared" si="45"/>
        <v>0.35460750936885654</v>
      </c>
      <c r="M121" s="173">
        <f t="shared" si="28"/>
        <v>2.9653837921334344E-2</v>
      </c>
      <c r="N121" s="174">
        <f t="shared" si="29"/>
        <v>0.3842613472901909</v>
      </c>
      <c r="O121" s="173">
        <f t="shared" si="30"/>
        <v>0</v>
      </c>
      <c r="P121" s="173">
        <f t="shared" si="31"/>
        <v>0</v>
      </c>
      <c r="Q121" s="173">
        <v>0</v>
      </c>
      <c r="R121" s="174">
        <f t="shared" si="32"/>
        <v>0.3842613472901909</v>
      </c>
    </row>
    <row r="122" spans="1:18" x14ac:dyDescent="0.25">
      <c r="A122" s="94">
        <v>7</v>
      </c>
      <c r="B122" s="166">
        <f t="shared" si="41"/>
        <v>45474</v>
      </c>
      <c r="C122" s="186">
        <f t="shared" si="43"/>
        <v>45509</v>
      </c>
      <c r="D122" s="186">
        <f t="shared" si="43"/>
        <v>45530</v>
      </c>
      <c r="E122" s="52" t="s">
        <v>13</v>
      </c>
      <c r="F122" s="131">
        <v>9</v>
      </c>
      <c r="G122" s="168">
        <v>950</v>
      </c>
      <c r="H122" s="169">
        <f t="shared" si="44"/>
        <v>9.2845976559737667E-5</v>
      </c>
      <c r="I122" s="169">
        <f t="shared" si="40"/>
        <v>4.7954991262174045E-4</v>
      </c>
      <c r="J122" s="170">
        <f t="shared" si="42"/>
        <v>0.45557241699065343</v>
      </c>
      <c r="K122" s="177">
        <f t="shared" si="35"/>
        <v>8.8203677731750779E-2</v>
      </c>
      <c r="L122" s="176">
        <f t="shared" si="45"/>
        <v>0.36736873925890268</v>
      </c>
      <c r="M122" s="173">
        <f t="shared" si="28"/>
        <v>3.0720988031916717E-2</v>
      </c>
      <c r="N122" s="174">
        <f t="shared" si="29"/>
        <v>0.39808972729081937</v>
      </c>
      <c r="O122" s="173">
        <f t="shared" si="30"/>
        <v>0</v>
      </c>
      <c r="P122" s="173">
        <f t="shared" si="31"/>
        <v>0</v>
      </c>
      <c r="Q122" s="173">
        <v>0</v>
      </c>
      <c r="R122" s="174">
        <f t="shared" si="32"/>
        <v>0.39808972729081937</v>
      </c>
    </row>
    <row r="123" spans="1:18" x14ac:dyDescent="0.25">
      <c r="A123" s="131">
        <v>8</v>
      </c>
      <c r="B123" s="166">
        <f t="shared" si="41"/>
        <v>45505</v>
      </c>
      <c r="C123" s="186">
        <f t="shared" si="43"/>
        <v>45539</v>
      </c>
      <c r="D123" s="186">
        <f t="shared" si="43"/>
        <v>45559</v>
      </c>
      <c r="E123" s="52" t="s">
        <v>13</v>
      </c>
      <c r="F123" s="131">
        <v>9</v>
      </c>
      <c r="G123" s="168">
        <v>940</v>
      </c>
      <c r="H123" s="169">
        <f t="shared" si="44"/>
        <v>9.2845976559737667E-5</v>
      </c>
      <c r="I123" s="169">
        <f t="shared" si="40"/>
        <v>4.7954991262174045E-4</v>
      </c>
      <c r="J123" s="170">
        <f t="shared" si="42"/>
        <v>0.45077691786443602</v>
      </c>
      <c r="K123" s="177">
        <f t="shared" si="35"/>
        <v>8.7275217966153409E-2</v>
      </c>
      <c r="L123" s="176">
        <f t="shared" si="45"/>
        <v>0.36350169989828263</v>
      </c>
      <c r="M123" s="173">
        <f t="shared" si="28"/>
        <v>3.0397609210528115E-2</v>
      </c>
      <c r="N123" s="174">
        <f t="shared" si="29"/>
        <v>0.39389930910881077</v>
      </c>
      <c r="O123" s="173">
        <f t="shared" si="30"/>
        <v>0</v>
      </c>
      <c r="P123" s="173">
        <f t="shared" si="31"/>
        <v>0</v>
      </c>
      <c r="Q123" s="173">
        <v>0</v>
      </c>
      <c r="R123" s="174">
        <f t="shared" si="32"/>
        <v>0.39389930910881077</v>
      </c>
    </row>
    <row r="124" spans="1:18" x14ac:dyDescent="0.25">
      <c r="A124" s="131">
        <v>9</v>
      </c>
      <c r="B124" s="166">
        <f t="shared" si="41"/>
        <v>45536</v>
      </c>
      <c r="C124" s="186">
        <f t="shared" si="43"/>
        <v>45568</v>
      </c>
      <c r="D124" s="186">
        <f t="shared" si="43"/>
        <v>45589</v>
      </c>
      <c r="E124" s="52" t="s">
        <v>13</v>
      </c>
      <c r="F124" s="131">
        <v>9</v>
      </c>
      <c r="G124" s="168">
        <v>816</v>
      </c>
      <c r="H124" s="169">
        <f t="shared" si="44"/>
        <v>9.2845976559737667E-5</v>
      </c>
      <c r="I124" s="169">
        <f t="shared" si="40"/>
        <v>4.7954991262174045E-4</v>
      </c>
      <c r="J124" s="170">
        <f t="shared" si="42"/>
        <v>0.3913127286993402</v>
      </c>
      <c r="K124" s="177">
        <f t="shared" si="35"/>
        <v>7.5762316872745941E-2</v>
      </c>
      <c r="L124" s="176">
        <f t="shared" si="45"/>
        <v>0.31555041182659427</v>
      </c>
      <c r="M124" s="173">
        <f t="shared" si="28"/>
        <v>2.6387711825309513E-2</v>
      </c>
      <c r="N124" s="174">
        <f t="shared" si="29"/>
        <v>0.34193812365190379</v>
      </c>
      <c r="O124" s="173">
        <f t="shared" si="30"/>
        <v>0</v>
      </c>
      <c r="P124" s="173">
        <f t="shared" si="31"/>
        <v>0</v>
      </c>
      <c r="Q124" s="173">
        <v>0</v>
      </c>
      <c r="R124" s="174">
        <f t="shared" si="32"/>
        <v>0.34193812365190379</v>
      </c>
    </row>
    <row r="125" spans="1:18" x14ac:dyDescent="0.25">
      <c r="A125" s="94">
        <v>10</v>
      </c>
      <c r="B125" s="166">
        <f t="shared" si="41"/>
        <v>45566</v>
      </c>
      <c r="C125" s="186">
        <f t="shared" si="43"/>
        <v>45601</v>
      </c>
      <c r="D125" s="186">
        <f t="shared" si="43"/>
        <v>45621</v>
      </c>
      <c r="E125" s="52" t="s">
        <v>13</v>
      </c>
      <c r="F125" s="131">
        <v>9</v>
      </c>
      <c r="G125" s="168">
        <v>683</v>
      </c>
      <c r="H125" s="169">
        <f t="shared" si="44"/>
        <v>9.2845976559737667E-5</v>
      </c>
      <c r="I125" s="169">
        <f t="shared" si="40"/>
        <v>4.7954991262174045E-4</v>
      </c>
      <c r="J125" s="170">
        <f t="shared" si="42"/>
        <v>0.32753259032064874</v>
      </c>
      <c r="K125" s="177">
        <f t="shared" si="35"/>
        <v>6.3413801990300833E-2</v>
      </c>
      <c r="L125" s="176">
        <f t="shared" si="45"/>
        <v>0.26411878833034791</v>
      </c>
      <c r="M125" s="173">
        <f t="shared" si="28"/>
        <v>2.2086773500841175E-2</v>
      </c>
      <c r="N125" s="174">
        <f t="shared" si="29"/>
        <v>0.28620556183118906</v>
      </c>
      <c r="O125" s="173">
        <f t="shared" si="30"/>
        <v>0</v>
      </c>
      <c r="P125" s="173">
        <f t="shared" si="31"/>
        <v>0</v>
      </c>
      <c r="Q125" s="173">
        <v>0</v>
      </c>
      <c r="R125" s="174">
        <f t="shared" si="32"/>
        <v>0.28620556183118906</v>
      </c>
    </row>
    <row r="126" spans="1:18" x14ac:dyDescent="0.25">
      <c r="A126" s="131">
        <v>11</v>
      </c>
      <c r="B126" s="166">
        <f t="shared" si="41"/>
        <v>45597</v>
      </c>
      <c r="C126" s="186">
        <f t="shared" si="43"/>
        <v>45630</v>
      </c>
      <c r="D126" s="186">
        <f t="shared" si="43"/>
        <v>45650</v>
      </c>
      <c r="E126" s="52" t="s">
        <v>13</v>
      </c>
      <c r="F126" s="131">
        <v>9</v>
      </c>
      <c r="G126" s="168">
        <v>525</v>
      </c>
      <c r="H126" s="169">
        <f t="shared" si="44"/>
        <v>9.2845976559737667E-5</v>
      </c>
      <c r="I126" s="169">
        <f t="shared" si="40"/>
        <v>4.7954991262174045E-4</v>
      </c>
      <c r="J126" s="170">
        <f t="shared" si="42"/>
        <v>0.25176370412641375</v>
      </c>
      <c r="K126" s="177">
        <f t="shared" si="35"/>
        <v>4.8744137693862273E-2</v>
      </c>
      <c r="L126" s="176">
        <f t="shared" si="45"/>
        <v>0.20301956643255148</v>
      </c>
      <c r="M126" s="173">
        <f t="shared" si="28"/>
        <v>1.6977388122901345E-2</v>
      </c>
      <c r="N126" s="174">
        <f t="shared" si="29"/>
        <v>0.21999695455545282</v>
      </c>
      <c r="O126" s="173">
        <f t="shared" si="30"/>
        <v>0</v>
      </c>
      <c r="P126" s="173">
        <f t="shared" si="31"/>
        <v>0</v>
      </c>
      <c r="Q126" s="173">
        <v>0</v>
      </c>
      <c r="R126" s="174">
        <f t="shared" si="32"/>
        <v>0.21999695455545282</v>
      </c>
    </row>
    <row r="127" spans="1:18" s="190" customFormat="1" x14ac:dyDescent="0.25">
      <c r="A127" s="131">
        <v>12</v>
      </c>
      <c r="B127" s="188">
        <f t="shared" si="41"/>
        <v>45627</v>
      </c>
      <c r="C127" s="191">
        <f t="shared" si="43"/>
        <v>45660</v>
      </c>
      <c r="D127" s="191">
        <f t="shared" si="43"/>
        <v>45681</v>
      </c>
      <c r="E127" s="189" t="s">
        <v>13</v>
      </c>
      <c r="F127" s="142">
        <v>9</v>
      </c>
      <c r="G127" s="168">
        <v>863</v>
      </c>
      <c r="H127" s="178">
        <f t="shared" si="44"/>
        <v>9.2845976559737667E-5</v>
      </c>
      <c r="I127" s="178">
        <f t="shared" si="40"/>
        <v>4.7954991262174045E-4</v>
      </c>
      <c r="J127" s="179">
        <f t="shared" si="42"/>
        <v>0.413851574592562</v>
      </c>
      <c r="K127" s="180">
        <f t="shared" si="35"/>
        <v>8.01260777710536E-2</v>
      </c>
      <c r="L127" s="181">
        <f t="shared" si="45"/>
        <v>0.33372549682150843</v>
      </c>
      <c r="M127" s="173">
        <f t="shared" si="28"/>
        <v>2.7907592285835919E-2</v>
      </c>
      <c r="N127" s="174">
        <f t="shared" si="29"/>
        <v>0.36163308910734437</v>
      </c>
      <c r="O127" s="173">
        <f t="shared" si="30"/>
        <v>0</v>
      </c>
      <c r="P127" s="173">
        <f t="shared" si="31"/>
        <v>0</v>
      </c>
      <c r="Q127" s="173">
        <v>0</v>
      </c>
      <c r="R127" s="174">
        <f t="shared" si="32"/>
        <v>0.36163308910734437</v>
      </c>
    </row>
    <row r="128" spans="1:18" x14ac:dyDescent="0.25">
      <c r="A128" s="94">
        <v>1</v>
      </c>
      <c r="B128" s="166">
        <f t="shared" si="41"/>
        <v>45292</v>
      </c>
      <c r="C128" s="186">
        <f t="shared" si="43"/>
        <v>45327</v>
      </c>
      <c r="D128" s="186">
        <f t="shared" si="43"/>
        <v>45348</v>
      </c>
      <c r="E128" s="167" t="s">
        <v>15</v>
      </c>
      <c r="F128" s="94">
        <v>9</v>
      </c>
      <c r="G128" s="168">
        <v>8</v>
      </c>
      <c r="H128" s="169">
        <f>+$K$3</f>
        <v>9.2845976559737667E-5</v>
      </c>
      <c r="I128" s="169">
        <f t="shared" ref="I128:I147" si="46">$J$3</f>
        <v>4.7954991262174045E-4</v>
      </c>
      <c r="J128" s="170">
        <f t="shared" si="42"/>
        <v>3.8363993009739236E-3</v>
      </c>
      <c r="K128" s="171">
        <f t="shared" si="35"/>
        <v>7.4276781247790134E-4</v>
      </c>
      <c r="L128" s="172">
        <f>+J128-K128</f>
        <v>3.0936314884960222E-3</v>
      </c>
      <c r="M128" s="173">
        <f t="shared" si="28"/>
        <v>2.587030571108776E-4</v>
      </c>
      <c r="N128" s="174">
        <f t="shared" si="29"/>
        <v>3.3523345456068997E-3</v>
      </c>
      <c r="O128" s="173">
        <f t="shared" si="30"/>
        <v>0</v>
      </c>
      <c r="P128" s="173">
        <f t="shared" si="31"/>
        <v>0</v>
      </c>
      <c r="Q128" s="173">
        <v>0</v>
      </c>
      <c r="R128" s="174">
        <f t="shared" si="32"/>
        <v>3.3523345456068997E-3</v>
      </c>
    </row>
    <row r="129" spans="1:18" x14ac:dyDescent="0.25">
      <c r="A129" s="131">
        <v>2</v>
      </c>
      <c r="B129" s="166">
        <f t="shared" si="41"/>
        <v>45323</v>
      </c>
      <c r="C129" s="186">
        <f t="shared" si="43"/>
        <v>45356</v>
      </c>
      <c r="D129" s="186">
        <f t="shared" si="43"/>
        <v>45376</v>
      </c>
      <c r="E129" s="175" t="s">
        <v>15</v>
      </c>
      <c r="F129" s="131">
        <v>9</v>
      </c>
      <c r="G129" s="168">
        <v>5</v>
      </c>
      <c r="H129" s="169">
        <f t="shared" ref="H129:H139" si="47">+$K$3</f>
        <v>9.2845976559737667E-5</v>
      </c>
      <c r="I129" s="169">
        <f t="shared" si="46"/>
        <v>4.7954991262174045E-4</v>
      </c>
      <c r="J129" s="170">
        <f t="shared" si="42"/>
        <v>2.3977495631087023E-3</v>
      </c>
      <c r="K129" s="171">
        <f t="shared" si="35"/>
        <v>4.6422988279868835E-4</v>
      </c>
      <c r="L129" s="172">
        <f>+J129-K129</f>
        <v>1.9335196803100139E-3</v>
      </c>
      <c r="M129" s="173">
        <f t="shared" si="28"/>
        <v>1.6168941069429852E-4</v>
      </c>
      <c r="N129" s="174">
        <f t="shared" si="29"/>
        <v>2.0952090910043124E-3</v>
      </c>
      <c r="O129" s="173">
        <f t="shared" si="30"/>
        <v>0</v>
      </c>
      <c r="P129" s="173">
        <f t="shared" si="31"/>
        <v>0</v>
      </c>
      <c r="Q129" s="173">
        <v>0</v>
      </c>
      <c r="R129" s="174">
        <f t="shared" si="32"/>
        <v>2.0952090910043124E-3</v>
      </c>
    </row>
    <row r="130" spans="1:18" x14ac:dyDescent="0.25">
      <c r="A130" s="131">
        <v>3</v>
      </c>
      <c r="B130" s="166">
        <f t="shared" si="41"/>
        <v>45352</v>
      </c>
      <c r="C130" s="186">
        <f t="shared" si="43"/>
        <v>45385</v>
      </c>
      <c r="D130" s="186">
        <f t="shared" si="43"/>
        <v>45406</v>
      </c>
      <c r="E130" s="175" t="s">
        <v>15</v>
      </c>
      <c r="F130" s="131">
        <v>9</v>
      </c>
      <c r="G130" s="168">
        <v>5</v>
      </c>
      <c r="H130" s="169">
        <f t="shared" si="47"/>
        <v>9.2845976559737667E-5</v>
      </c>
      <c r="I130" s="169">
        <f t="shared" si="46"/>
        <v>4.7954991262174045E-4</v>
      </c>
      <c r="J130" s="170">
        <f t="shared" si="42"/>
        <v>2.3977495631087023E-3</v>
      </c>
      <c r="K130" s="171">
        <f t="shared" si="35"/>
        <v>4.6422988279868835E-4</v>
      </c>
      <c r="L130" s="172">
        <f>+J130-K130</f>
        <v>1.9335196803100139E-3</v>
      </c>
      <c r="M130" s="173">
        <f t="shared" si="28"/>
        <v>1.6168941069429852E-4</v>
      </c>
      <c r="N130" s="174">
        <f t="shared" si="29"/>
        <v>2.0952090910043124E-3</v>
      </c>
      <c r="O130" s="173">
        <f t="shared" si="30"/>
        <v>0</v>
      </c>
      <c r="P130" s="173">
        <f t="shared" si="31"/>
        <v>0</v>
      </c>
      <c r="Q130" s="173">
        <v>0</v>
      </c>
      <c r="R130" s="174">
        <f t="shared" si="32"/>
        <v>2.0952090910043124E-3</v>
      </c>
    </row>
    <row r="131" spans="1:18" x14ac:dyDescent="0.25">
      <c r="A131" s="94">
        <v>4</v>
      </c>
      <c r="B131" s="166">
        <f t="shared" si="41"/>
        <v>45383</v>
      </c>
      <c r="C131" s="186">
        <f t="shared" si="43"/>
        <v>45415</v>
      </c>
      <c r="D131" s="186">
        <f t="shared" si="43"/>
        <v>45436</v>
      </c>
      <c r="E131" s="175" t="s">
        <v>15</v>
      </c>
      <c r="F131" s="131">
        <v>9</v>
      </c>
      <c r="G131" s="168">
        <v>6</v>
      </c>
      <c r="H131" s="169">
        <f t="shared" si="47"/>
        <v>9.2845976559737667E-5</v>
      </c>
      <c r="I131" s="169">
        <f t="shared" si="46"/>
        <v>4.7954991262174045E-4</v>
      </c>
      <c r="J131" s="170">
        <f t="shared" si="42"/>
        <v>2.8772994757304427E-3</v>
      </c>
      <c r="K131" s="171">
        <f t="shared" si="35"/>
        <v>5.5707585935842597E-4</v>
      </c>
      <c r="L131" s="172">
        <f t="shared" ref="L131:L141" si="48">+J131-K131</f>
        <v>2.3202236163720165E-3</v>
      </c>
      <c r="M131" s="173">
        <f t="shared" si="28"/>
        <v>1.9402729283315818E-4</v>
      </c>
      <c r="N131" s="174">
        <f t="shared" si="29"/>
        <v>2.5142509092051747E-3</v>
      </c>
      <c r="O131" s="173">
        <f t="shared" si="30"/>
        <v>0</v>
      </c>
      <c r="P131" s="173">
        <f t="shared" si="31"/>
        <v>0</v>
      </c>
      <c r="Q131" s="173">
        <v>0</v>
      </c>
      <c r="R131" s="174">
        <f t="shared" si="32"/>
        <v>2.5142509092051747E-3</v>
      </c>
    </row>
    <row r="132" spans="1:18" x14ac:dyDescent="0.25">
      <c r="A132" s="131">
        <v>5</v>
      </c>
      <c r="B132" s="166">
        <f t="shared" si="41"/>
        <v>45413</v>
      </c>
      <c r="C132" s="186">
        <f t="shared" si="43"/>
        <v>45448</v>
      </c>
      <c r="D132" s="186">
        <f t="shared" si="43"/>
        <v>45467</v>
      </c>
      <c r="E132" s="52" t="s">
        <v>15</v>
      </c>
      <c r="F132" s="131">
        <v>9</v>
      </c>
      <c r="G132" s="168">
        <v>9</v>
      </c>
      <c r="H132" s="169">
        <f t="shared" si="47"/>
        <v>9.2845976559737667E-5</v>
      </c>
      <c r="I132" s="169">
        <f t="shared" si="46"/>
        <v>4.7954991262174045E-4</v>
      </c>
      <c r="J132" s="170">
        <f t="shared" si="42"/>
        <v>4.3159492135956641E-3</v>
      </c>
      <c r="K132" s="171">
        <f t="shared" si="35"/>
        <v>8.3561378903763896E-4</v>
      </c>
      <c r="L132" s="172">
        <f t="shared" si="48"/>
        <v>3.4803354245580252E-3</v>
      </c>
      <c r="M132" s="173">
        <f t="shared" si="28"/>
        <v>2.9104093924973729E-4</v>
      </c>
      <c r="N132" s="174">
        <f t="shared" si="29"/>
        <v>3.7713763638077625E-3</v>
      </c>
      <c r="O132" s="173">
        <f t="shared" si="30"/>
        <v>0</v>
      </c>
      <c r="P132" s="173">
        <f t="shared" si="31"/>
        <v>0</v>
      </c>
      <c r="Q132" s="173">
        <v>0</v>
      </c>
      <c r="R132" s="174">
        <f t="shared" si="32"/>
        <v>3.7713763638077625E-3</v>
      </c>
    </row>
    <row r="133" spans="1:18" x14ac:dyDescent="0.25">
      <c r="A133" s="131">
        <v>6</v>
      </c>
      <c r="B133" s="166">
        <f t="shared" si="41"/>
        <v>45444</v>
      </c>
      <c r="C133" s="186">
        <f t="shared" si="43"/>
        <v>45476</v>
      </c>
      <c r="D133" s="186">
        <f t="shared" si="43"/>
        <v>45497</v>
      </c>
      <c r="E133" s="52" t="s">
        <v>15</v>
      </c>
      <c r="F133" s="131">
        <v>9</v>
      </c>
      <c r="G133" s="168">
        <v>14</v>
      </c>
      <c r="H133" s="169">
        <f t="shared" si="47"/>
        <v>9.2845976559737667E-5</v>
      </c>
      <c r="I133" s="169">
        <f t="shared" si="46"/>
        <v>4.7954991262174045E-4</v>
      </c>
      <c r="J133" s="170">
        <f t="shared" si="42"/>
        <v>6.7136987767043663E-3</v>
      </c>
      <c r="K133" s="171">
        <f t="shared" si="35"/>
        <v>1.2998436718363274E-3</v>
      </c>
      <c r="L133" s="176">
        <f t="shared" si="48"/>
        <v>5.4138551048680391E-3</v>
      </c>
      <c r="M133" s="173">
        <f t="shared" si="28"/>
        <v>4.5273034994403581E-4</v>
      </c>
      <c r="N133" s="174">
        <f t="shared" si="29"/>
        <v>5.8665854548120748E-3</v>
      </c>
      <c r="O133" s="173">
        <f t="shared" si="30"/>
        <v>0</v>
      </c>
      <c r="P133" s="173">
        <f t="shared" si="31"/>
        <v>0</v>
      </c>
      <c r="Q133" s="173">
        <v>0</v>
      </c>
      <c r="R133" s="174">
        <f t="shared" si="32"/>
        <v>5.8665854548120748E-3</v>
      </c>
    </row>
    <row r="134" spans="1:18" x14ac:dyDescent="0.25">
      <c r="A134" s="94">
        <v>7</v>
      </c>
      <c r="B134" s="166">
        <f t="shared" si="41"/>
        <v>45474</v>
      </c>
      <c r="C134" s="186">
        <f t="shared" si="43"/>
        <v>45509</v>
      </c>
      <c r="D134" s="186">
        <f t="shared" si="43"/>
        <v>45530</v>
      </c>
      <c r="E134" s="52" t="s">
        <v>15</v>
      </c>
      <c r="F134" s="131">
        <v>9</v>
      </c>
      <c r="G134" s="168">
        <v>17</v>
      </c>
      <c r="H134" s="169">
        <f t="shared" si="47"/>
        <v>9.2845976559737667E-5</v>
      </c>
      <c r="I134" s="169">
        <f t="shared" si="46"/>
        <v>4.7954991262174045E-4</v>
      </c>
      <c r="J134" s="170">
        <f t="shared" si="42"/>
        <v>8.1523485145695886E-3</v>
      </c>
      <c r="K134" s="177">
        <f t="shared" ref="K134:K197" si="49">+$G134*H134</f>
        <v>1.5783816015155403E-3</v>
      </c>
      <c r="L134" s="176">
        <f t="shared" si="48"/>
        <v>6.5739669130540478E-3</v>
      </c>
      <c r="M134" s="173">
        <f t="shared" si="28"/>
        <v>5.4974399636061489E-4</v>
      </c>
      <c r="N134" s="174">
        <f t="shared" si="29"/>
        <v>7.1237109094146626E-3</v>
      </c>
      <c r="O134" s="173">
        <f t="shared" si="30"/>
        <v>0</v>
      </c>
      <c r="P134" s="173">
        <f t="shared" si="31"/>
        <v>0</v>
      </c>
      <c r="Q134" s="173">
        <v>0</v>
      </c>
      <c r="R134" s="174">
        <f t="shared" si="32"/>
        <v>7.1237109094146626E-3</v>
      </c>
    </row>
    <row r="135" spans="1:18" x14ac:dyDescent="0.25">
      <c r="A135" s="131">
        <v>8</v>
      </c>
      <c r="B135" s="166">
        <f t="shared" si="41"/>
        <v>45505</v>
      </c>
      <c r="C135" s="186">
        <f t="shared" si="43"/>
        <v>45539</v>
      </c>
      <c r="D135" s="186">
        <f t="shared" si="43"/>
        <v>45559</v>
      </c>
      <c r="E135" s="52" t="s">
        <v>15</v>
      </c>
      <c r="F135" s="131">
        <v>9</v>
      </c>
      <c r="G135" s="168">
        <v>19</v>
      </c>
      <c r="H135" s="169">
        <f t="shared" si="47"/>
        <v>9.2845976559737667E-5</v>
      </c>
      <c r="I135" s="169">
        <f t="shared" si="46"/>
        <v>4.7954991262174045E-4</v>
      </c>
      <c r="J135" s="170">
        <f t="shared" si="42"/>
        <v>9.1114483398130677E-3</v>
      </c>
      <c r="K135" s="177">
        <f t="shared" si="49"/>
        <v>1.7640735546350158E-3</v>
      </c>
      <c r="L135" s="176">
        <f t="shared" si="48"/>
        <v>7.3473747851780522E-3</v>
      </c>
      <c r="M135" s="173">
        <f t="shared" si="28"/>
        <v>6.1441976063833438E-4</v>
      </c>
      <c r="N135" s="174">
        <f t="shared" si="29"/>
        <v>7.9617945458163863E-3</v>
      </c>
      <c r="O135" s="173">
        <f t="shared" si="30"/>
        <v>0</v>
      </c>
      <c r="P135" s="173">
        <f t="shared" si="31"/>
        <v>0</v>
      </c>
      <c r="Q135" s="173">
        <v>0</v>
      </c>
      <c r="R135" s="174">
        <f t="shared" si="32"/>
        <v>7.9617945458163863E-3</v>
      </c>
    </row>
    <row r="136" spans="1:18" x14ac:dyDescent="0.25">
      <c r="A136" s="131">
        <v>9</v>
      </c>
      <c r="B136" s="166">
        <f t="shared" si="41"/>
        <v>45536</v>
      </c>
      <c r="C136" s="186">
        <f t="shared" si="43"/>
        <v>45568</v>
      </c>
      <c r="D136" s="186">
        <f t="shared" si="43"/>
        <v>45589</v>
      </c>
      <c r="E136" s="52" t="s">
        <v>15</v>
      </c>
      <c r="F136" s="131">
        <v>9</v>
      </c>
      <c r="G136" s="168">
        <v>11</v>
      </c>
      <c r="H136" s="169">
        <f t="shared" si="47"/>
        <v>9.2845976559737667E-5</v>
      </c>
      <c r="I136" s="169">
        <f t="shared" si="46"/>
        <v>4.7954991262174045E-4</v>
      </c>
      <c r="J136" s="170">
        <f t="shared" si="42"/>
        <v>5.275049038839145E-3</v>
      </c>
      <c r="K136" s="177">
        <f t="shared" si="49"/>
        <v>1.0213057421571143E-3</v>
      </c>
      <c r="L136" s="176">
        <f t="shared" si="48"/>
        <v>4.2537432966820304E-3</v>
      </c>
      <c r="M136" s="173">
        <f t="shared" si="28"/>
        <v>3.5571670352745668E-4</v>
      </c>
      <c r="N136" s="174">
        <f t="shared" si="29"/>
        <v>4.6094600002094871E-3</v>
      </c>
      <c r="O136" s="173">
        <f t="shared" si="30"/>
        <v>0</v>
      </c>
      <c r="P136" s="173">
        <f t="shared" si="31"/>
        <v>0</v>
      </c>
      <c r="Q136" s="173">
        <v>0</v>
      </c>
      <c r="R136" s="174">
        <f t="shared" si="32"/>
        <v>4.6094600002094871E-3</v>
      </c>
    </row>
    <row r="137" spans="1:18" x14ac:dyDescent="0.25">
      <c r="A137" s="94">
        <v>10</v>
      </c>
      <c r="B137" s="166">
        <f t="shared" si="41"/>
        <v>45566</v>
      </c>
      <c r="C137" s="186">
        <f t="shared" si="43"/>
        <v>45601</v>
      </c>
      <c r="D137" s="186">
        <f t="shared" si="43"/>
        <v>45621</v>
      </c>
      <c r="E137" s="52" t="s">
        <v>15</v>
      </c>
      <c r="F137" s="131">
        <v>9</v>
      </c>
      <c r="G137" s="168">
        <v>6</v>
      </c>
      <c r="H137" s="169">
        <f t="shared" si="47"/>
        <v>9.2845976559737667E-5</v>
      </c>
      <c r="I137" s="169">
        <f t="shared" si="46"/>
        <v>4.7954991262174045E-4</v>
      </c>
      <c r="J137" s="170">
        <f t="shared" si="42"/>
        <v>2.8772994757304427E-3</v>
      </c>
      <c r="K137" s="177">
        <f t="shared" si="49"/>
        <v>5.5707585935842597E-4</v>
      </c>
      <c r="L137" s="176">
        <f t="shared" si="48"/>
        <v>2.3202236163720165E-3</v>
      </c>
      <c r="M137" s="173">
        <f t="shared" si="28"/>
        <v>1.9402729283315818E-4</v>
      </c>
      <c r="N137" s="174">
        <f t="shared" si="29"/>
        <v>2.5142509092051747E-3</v>
      </c>
      <c r="O137" s="173">
        <f t="shared" si="30"/>
        <v>0</v>
      </c>
      <c r="P137" s="173">
        <f t="shared" si="31"/>
        <v>0</v>
      </c>
      <c r="Q137" s="173">
        <v>0</v>
      </c>
      <c r="R137" s="174">
        <f t="shared" si="32"/>
        <v>2.5142509092051747E-3</v>
      </c>
    </row>
    <row r="138" spans="1:18" x14ac:dyDescent="0.25">
      <c r="A138" s="131">
        <v>11</v>
      </c>
      <c r="B138" s="166">
        <f t="shared" si="41"/>
        <v>45597</v>
      </c>
      <c r="C138" s="186">
        <f t="shared" si="43"/>
        <v>45630</v>
      </c>
      <c r="D138" s="186">
        <f t="shared" si="43"/>
        <v>45650</v>
      </c>
      <c r="E138" s="52" t="s">
        <v>15</v>
      </c>
      <c r="F138" s="131">
        <v>9</v>
      </c>
      <c r="G138" s="168">
        <v>6</v>
      </c>
      <c r="H138" s="169">
        <f t="shared" si="47"/>
        <v>9.2845976559737667E-5</v>
      </c>
      <c r="I138" s="169">
        <f t="shared" si="46"/>
        <v>4.7954991262174045E-4</v>
      </c>
      <c r="J138" s="170">
        <f t="shared" si="42"/>
        <v>2.8772994757304427E-3</v>
      </c>
      <c r="K138" s="177">
        <f t="shared" si="49"/>
        <v>5.5707585935842597E-4</v>
      </c>
      <c r="L138" s="176">
        <f t="shared" si="48"/>
        <v>2.3202236163720165E-3</v>
      </c>
      <c r="M138" s="173">
        <f t="shared" si="28"/>
        <v>1.9402729283315818E-4</v>
      </c>
      <c r="N138" s="174">
        <f t="shared" si="29"/>
        <v>2.5142509092051747E-3</v>
      </c>
      <c r="O138" s="173">
        <f t="shared" si="30"/>
        <v>0</v>
      </c>
      <c r="P138" s="173">
        <f t="shared" si="31"/>
        <v>0</v>
      </c>
      <c r="Q138" s="173">
        <v>0</v>
      </c>
      <c r="R138" s="174">
        <f t="shared" si="32"/>
        <v>2.5142509092051747E-3</v>
      </c>
    </row>
    <row r="139" spans="1:18" s="190" customFormat="1" x14ac:dyDescent="0.25">
      <c r="A139" s="131">
        <v>12</v>
      </c>
      <c r="B139" s="188">
        <f t="shared" si="41"/>
        <v>45627</v>
      </c>
      <c r="C139" s="186">
        <f t="shared" si="43"/>
        <v>45660</v>
      </c>
      <c r="D139" s="186">
        <f t="shared" si="43"/>
        <v>45681</v>
      </c>
      <c r="E139" s="189" t="s">
        <v>15</v>
      </c>
      <c r="F139" s="142">
        <v>9</v>
      </c>
      <c r="G139" s="168">
        <v>6</v>
      </c>
      <c r="H139" s="178">
        <f t="shared" si="47"/>
        <v>9.2845976559737667E-5</v>
      </c>
      <c r="I139" s="178">
        <f t="shared" si="46"/>
        <v>4.7954991262174045E-4</v>
      </c>
      <c r="J139" s="179">
        <f t="shared" si="42"/>
        <v>2.8772994757304427E-3</v>
      </c>
      <c r="K139" s="180">
        <f t="shared" si="49"/>
        <v>5.5707585935842597E-4</v>
      </c>
      <c r="L139" s="181">
        <f t="shared" si="48"/>
        <v>2.3202236163720165E-3</v>
      </c>
      <c r="M139" s="173">
        <f t="shared" si="28"/>
        <v>1.9402729283315818E-4</v>
      </c>
      <c r="N139" s="174">
        <f t="shared" si="29"/>
        <v>2.5142509092051747E-3</v>
      </c>
      <c r="O139" s="173">
        <f t="shared" si="30"/>
        <v>0</v>
      </c>
      <c r="P139" s="173">
        <f t="shared" si="31"/>
        <v>0</v>
      </c>
      <c r="Q139" s="173">
        <v>0</v>
      </c>
      <c r="R139" s="174">
        <f t="shared" si="32"/>
        <v>2.5142509092051747E-3</v>
      </c>
    </row>
    <row r="140" spans="1:18" x14ac:dyDescent="0.25">
      <c r="A140" s="94">
        <v>1</v>
      </c>
      <c r="B140" s="166">
        <f t="shared" si="41"/>
        <v>45292</v>
      </c>
      <c r="C140" s="183">
        <f t="shared" ref="C140:D151" si="50">+C128</f>
        <v>45327</v>
      </c>
      <c r="D140" s="183">
        <f t="shared" si="50"/>
        <v>45348</v>
      </c>
      <c r="E140" s="193" t="s">
        <v>16</v>
      </c>
      <c r="F140" s="131">
        <v>9</v>
      </c>
      <c r="G140" s="168">
        <v>4</v>
      </c>
      <c r="H140" s="169">
        <f>+$K$3</f>
        <v>9.2845976559737667E-5</v>
      </c>
      <c r="I140" s="169">
        <f t="shared" si="46"/>
        <v>4.7954991262174045E-4</v>
      </c>
      <c r="J140" s="170">
        <f t="shared" si="42"/>
        <v>1.9181996504869618E-3</v>
      </c>
      <c r="K140" s="171">
        <f t="shared" si="49"/>
        <v>3.7138390623895067E-4</v>
      </c>
      <c r="L140" s="172">
        <f t="shared" si="48"/>
        <v>1.5468157442480111E-3</v>
      </c>
      <c r="M140" s="173">
        <f t="shared" si="28"/>
        <v>1.293515285554388E-4</v>
      </c>
      <c r="N140" s="174">
        <f t="shared" si="29"/>
        <v>1.6761672728034499E-3</v>
      </c>
      <c r="O140" s="173">
        <f t="shared" si="30"/>
        <v>0</v>
      </c>
      <c r="P140" s="173">
        <f t="shared" si="31"/>
        <v>0</v>
      </c>
      <c r="Q140" s="173">
        <v>0</v>
      </c>
      <c r="R140" s="174">
        <f t="shared" si="32"/>
        <v>1.6761672728034499E-3</v>
      </c>
    </row>
    <row r="141" spans="1:18" x14ac:dyDescent="0.25">
      <c r="A141" s="131">
        <v>2</v>
      </c>
      <c r="B141" s="166">
        <f t="shared" si="41"/>
        <v>45323</v>
      </c>
      <c r="C141" s="186">
        <f t="shared" si="50"/>
        <v>45356</v>
      </c>
      <c r="D141" s="186">
        <f t="shared" si="50"/>
        <v>45376</v>
      </c>
      <c r="E141" s="52" t="s">
        <v>16</v>
      </c>
      <c r="F141" s="131">
        <v>9</v>
      </c>
      <c r="G141" s="168">
        <v>3</v>
      </c>
      <c r="H141" s="169">
        <f t="shared" ref="H141:H151" si="51">+$K$3</f>
        <v>9.2845976559737667E-5</v>
      </c>
      <c r="I141" s="169">
        <f t="shared" si="46"/>
        <v>4.7954991262174045E-4</v>
      </c>
      <c r="J141" s="170">
        <f t="shared" si="42"/>
        <v>1.4386497378652214E-3</v>
      </c>
      <c r="K141" s="171">
        <f t="shared" si="49"/>
        <v>2.7853792967921299E-4</v>
      </c>
      <c r="L141" s="172">
        <f t="shared" si="48"/>
        <v>1.1601118081860083E-3</v>
      </c>
      <c r="M141" s="173">
        <f t="shared" si="28"/>
        <v>9.7013646416579092E-5</v>
      </c>
      <c r="N141" s="174">
        <f t="shared" si="29"/>
        <v>1.2571254546025873E-3</v>
      </c>
      <c r="O141" s="173">
        <f t="shared" si="30"/>
        <v>0</v>
      </c>
      <c r="P141" s="173">
        <f t="shared" si="31"/>
        <v>0</v>
      </c>
      <c r="Q141" s="173">
        <v>0</v>
      </c>
      <c r="R141" s="174">
        <f t="shared" si="32"/>
        <v>1.2571254546025873E-3</v>
      </c>
    </row>
    <row r="142" spans="1:18" x14ac:dyDescent="0.25">
      <c r="A142" s="131">
        <v>3</v>
      </c>
      <c r="B142" s="166">
        <f t="shared" si="41"/>
        <v>45352</v>
      </c>
      <c r="C142" s="186">
        <f t="shared" si="50"/>
        <v>45385</v>
      </c>
      <c r="D142" s="186">
        <f t="shared" si="50"/>
        <v>45406</v>
      </c>
      <c r="E142" s="52" t="s">
        <v>16</v>
      </c>
      <c r="F142" s="131">
        <v>9</v>
      </c>
      <c r="G142" s="168">
        <v>3</v>
      </c>
      <c r="H142" s="169">
        <f t="shared" si="51"/>
        <v>9.2845976559737667E-5</v>
      </c>
      <c r="I142" s="169">
        <f t="shared" si="46"/>
        <v>4.7954991262174045E-4</v>
      </c>
      <c r="J142" s="170">
        <f t="shared" si="42"/>
        <v>1.4386497378652214E-3</v>
      </c>
      <c r="K142" s="171">
        <f t="shared" si="49"/>
        <v>2.7853792967921299E-4</v>
      </c>
      <c r="L142" s="172">
        <f>+J142-K142</f>
        <v>1.1601118081860083E-3</v>
      </c>
      <c r="M142" s="173">
        <f t="shared" si="28"/>
        <v>9.7013646416579092E-5</v>
      </c>
      <c r="N142" s="174">
        <f t="shared" si="29"/>
        <v>1.2571254546025873E-3</v>
      </c>
      <c r="O142" s="173">
        <f t="shared" si="30"/>
        <v>0</v>
      </c>
      <c r="P142" s="173">
        <f t="shared" si="31"/>
        <v>0</v>
      </c>
      <c r="Q142" s="173">
        <v>0</v>
      </c>
      <c r="R142" s="174">
        <f t="shared" si="32"/>
        <v>1.2571254546025873E-3</v>
      </c>
    </row>
    <row r="143" spans="1:18" x14ac:dyDescent="0.25">
      <c r="A143" s="94">
        <v>4</v>
      </c>
      <c r="B143" s="166">
        <f t="shared" si="41"/>
        <v>45383</v>
      </c>
      <c r="C143" s="186">
        <f t="shared" si="50"/>
        <v>45415</v>
      </c>
      <c r="D143" s="186">
        <f t="shared" si="50"/>
        <v>45436</v>
      </c>
      <c r="E143" s="52" t="s">
        <v>16</v>
      </c>
      <c r="F143" s="131">
        <v>9</v>
      </c>
      <c r="G143" s="168">
        <v>2</v>
      </c>
      <c r="H143" s="169">
        <f t="shared" si="51"/>
        <v>9.2845976559737667E-5</v>
      </c>
      <c r="I143" s="169">
        <f t="shared" si="46"/>
        <v>4.7954991262174045E-4</v>
      </c>
      <c r="J143" s="170">
        <f t="shared" si="42"/>
        <v>9.5909982524348091E-4</v>
      </c>
      <c r="K143" s="171">
        <f t="shared" si="49"/>
        <v>1.8569195311947533E-4</v>
      </c>
      <c r="L143" s="172">
        <f t="shared" ref="L143:L153" si="52">+J143-K143</f>
        <v>7.7340787212400554E-4</v>
      </c>
      <c r="M143" s="173">
        <f t="shared" si="28"/>
        <v>6.4675764277719399E-5</v>
      </c>
      <c r="N143" s="174">
        <f t="shared" si="29"/>
        <v>8.3808363640172493E-4</v>
      </c>
      <c r="O143" s="173">
        <f t="shared" si="30"/>
        <v>0</v>
      </c>
      <c r="P143" s="173">
        <f t="shared" si="31"/>
        <v>0</v>
      </c>
      <c r="Q143" s="173">
        <v>0</v>
      </c>
      <c r="R143" s="174">
        <f t="shared" si="32"/>
        <v>8.3808363640172493E-4</v>
      </c>
    </row>
    <row r="144" spans="1:18" x14ac:dyDescent="0.25">
      <c r="A144" s="131">
        <v>5</v>
      </c>
      <c r="B144" s="166">
        <f t="shared" si="41"/>
        <v>45413</v>
      </c>
      <c r="C144" s="186">
        <f t="shared" si="50"/>
        <v>45448</v>
      </c>
      <c r="D144" s="186">
        <f t="shared" si="50"/>
        <v>45467</v>
      </c>
      <c r="E144" s="52" t="s">
        <v>16</v>
      </c>
      <c r="F144" s="131">
        <v>9</v>
      </c>
      <c r="G144" s="168">
        <v>4</v>
      </c>
      <c r="H144" s="169">
        <f t="shared" si="51"/>
        <v>9.2845976559737667E-5</v>
      </c>
      <c r="I144" s="169">
        <f t="shared" si="46"/>
        <v>4.7954991262174045E-4</v>
      </c>
      <c r="J144" s="170">
        <f t="shared" si="42"/>
        <v>1.9181996504869618E-3</v>
      </c>
      <c r="K144" s="171">
        <f t="shared" si="49"/>
        <v>3.7138390623895067E-4</v>
      </c>
      <c r="L144" s="172">
        <f t="shared" si="52"/>
        <v>1.5468157442480111E-3</v>
      </c>
      <c r="M144" s="173">
        <f t="shared" si="28"/>
        <v>1.293515285554388E-4</v>
      </c>
      <c r="N144" s="174">
        <f t="shared" si="29"/>
        <v>1.6761672728034499E-3</v>
      </c>
      <c r="O144" s="173">
        <f t="shared" si="30"/>
        <v>0</v>
      </c>
      <c r="P144" s="173">
        <f t="shared" si="31"/>
        <v>0</v>
      </c>
      <c r="Q144" s="173">
        <v>0</v>
      </c>
      <c r="R144" s="174">
        <f t="shared" si="32"/>
        <v>1.6761672728034499E-3</v>
      </c>
    </row>
    <row r="145" spans="1:19" x14ac:dyDescent="0.25">
      <c r="A145" s="131">
        <v>6</v>
      </c>
      <c r="B145" s="166">
        <f t="shared" si="41"/>
        <v>45444</v>
      </c>
      <c r="C145" s="186">
        <f t="shared" si="50"/>
        <v>45476</v>
      </c>
      <c r="D145" s="186">
        <f t="shared" si="50"/>
        <v>45497</v>
      </c>
      <c r="E145" s="52" t="s">
        <v>16</v>
      </c>
      <c r="F145" s="131">
        <v>9</v>
      </c>
      <c r="G145" s="168">
        <v>4</v>
      </c>
      <c r="H145" s="169">
        <f t="shared" si="51"/>
        <v>9.2845976559737667E-5</v>
      </c>
      <c r="I145" s="169">
        <f t="shared" si="46"/>
        <v>4.7954991262174045E-4</v>
      </c>
      <c r="J145" s="170">
        <f t="shared" si="42"/>
        <v>1.9181996504869618E-3</v>
      </c>
      <c r="K145" s="171">
        <f t="shared" si="49"/>
        <v>3.7138390623895067E-4</v>
      </c>
      <c r="L145" s="176">
        <f t="shared" si="52"/>
        <v>1.5468157442480111E-3</v>
      </c>
      <c r="M145" s="173">
        <f t="shared" si="28"/>
        <v>1.293515285554388E-4</v>
      </c>
      <c r="N145" s="174">
        <f t="shared" si="29"/>
        <v>1.6761672728034499E-3</v>
      </c>
      <c r="O145" s="173">
        <f t="shared" si="30"/>
        <v>0</v>
      </c>
      <c r="P145" s="173">
        <f t="shared" si="31"/>
        <v>0</v>
      </c>
      <c r="Q145" s="173">
        <v>0</v>
      </c>
      <c r="R145" s="174">
        <f t="shared" si="32"/>
        <v>1.6761672728034499E-3</v>
      </c>
    </row>
    <row r="146" spans="1:19" x14ac:dyDescent="0.25">
      <c r="A146" s="94">
        <v>7</v>
      </c>
      <c r="B146" s="166">
        <f t="shared" si="41"/>
        <v>45474</v>
      </c>
      <c r="C146" s="186">
        <f t="shared" si="50"/>
        <v>45509</v>
      </c>
      <c r="D146" s="186">
        <f t="shared" si="50"/>
        <v>45530</v>
      </c>
      <c r="E146" s="52" t="s">
        <v>16</v>
      </c>
      <c r="F146" s="131">
        <v>9</v>
      </c>
      <c r="G146" s="168">
        <v>6</v>
      </c>
      <c r="H146" s="169">
        <f t="shared" si="51"/>
        <v>9.2845976559737667E-5</v>
      </c>
      <c r="I146" s="169">
        <f t="shared" si="46"/>
        <v>4.7954991262174045E-4</v>
      </c>
      <c r="J146" s="170">
        <f t="shared" si="42"/>
        <v>2.8772994757304427E-3</v>
      </c>
      <c r="K146" s="177">
        <f t="shared" si="49"/>
        <v>5.5707585935842597E-4</v>
      </c>
      <c r="L146" s="176">
        <f t="shared" si="52"/>
        <v>2.3202236163720165E-3</v>
      </c>
      <c r="M146" s="173">
        <f t="shared" si="28"/>
        <v>1.9402729283315818E-4</v>
      </c>
      <c r="N146" s="174">
        <f t="shared" si="29"/>
        <v>2.5142509092051747E-3</v>
      </c>
      <c r="O146" s="173">
        <f t="shared" si="30"/>
        <v>0</v>
      </c>
      <c r="P146" s="173">
        <f t="shared" si="31"/>
        <v>0</v>
      </c>
      <c r="Q146" s="173">
        <v>0</v>
      </c>
      <c r="R146" s="174">
        <f t="shared" si="32"/>
        <v>2.5142509092051747E-3</v>
      </c>
    </row>
    <row r="147" spans="1:19" x14ac:dyDescent="0.25">
      <c r="A147" s="131">
        <v>8</v>
      </c>
      <c r="B147" s="166">
        <f t="shared" si="41"/>
        <v>45505</v>
      </c>
      <c r="C147" s="186">
        <f t="shared" si="50"/>
        <v>45539</v>
      </c>
      <c r="D147" s="186">
        <f t="shared" si="50"/>
        <v>45559</v>
      </c>
      <c r="E147" s="52" t="s">
        <v>16</v>
      </c>
      <c r="F147" s="131">
        <v>9</v>
      </c>
      <c r="G147" s="168">
        <v>6</v>
      </c>
      <c r="H147" s="169">
        <f t="shared" si="51"/>
        <v>9.2845976559737667E-5</v>
      </c>
      <c r="I147" s="169">
        <f t="shared" si="46"/>
        <v>4.7954991262174045E-4</v>
      </c>
      <c r="J147" s="170">
        <f t="shared" si="42"/>
        <v>2.8772994757304427E-3</v>
      </c>
      <c r="K147" s="177">
        <f t="shared" si="49"/>
        <v>5.5707585935842597E-4</v>
      </c>
      <c r="L147" s="176">
        <f t="shared" si="52"/>
        <v>2.3202236163720165E-3</v>
      </c>
      <c r="M147" s="173">
        <f t="shared" si="28"/>
        <v>1.9402729283315818E-4</v>
      </c>
      <c r="N147" s="174">
        <f t="shared" si="29"/>
        <v>2.5142509092051747E-3</v>
      </c>
      <c r="O147" s="173">
        <f t="shared" si="30"/>
        <v>0</v>
      </c>
      <c r="P147" s="173">
        <f t="shared" si="31"/>
        <v>0</v>
      </c>
      <c r="Q147" s="173">
        <v>0</v>
      </c>
      <c r="R147" s="174">
        <f t="shared" si="32"/>
        <v>2.5142509092051747E-3</v>
      </c>
    </row>
    <row r="148" spans="1:19" x14ac:dyDescent="0.25">
      <c r="A148" s="131">
        <v>9</v>
      </c>
      <c r="B148" s="166">
        <f t="shared" si="41"/>
        <v>45536</v>
      </c>
      <c r="C148" s="186">
        <f t="shared" si="50"/>
        <v>45568</v>
      </c>
      <c r="D148" s="186">
        <f t="shared" si="50"/>
        <v>45589</v>
      </c>
      <c r="E148" s="52" t="s">
        <v>16</v>
      </c>
      <c r="F148" s="131">
        <v>9</v>
      </c>
      <c r="G148" s="168">
        <v>3</v>
      </c>
      <c r="H148" s="169">
        <f t="shared" si="51"/>
        <v>9.2845976559737667E-5</v>
      </c>
      <c r="I148" s="169">
        <f t="shared" ref="I148:I179" si="53">$J$3</f>
        <v>4.7954991262174045E-4</v>
      </c>
      <c r="J148" s="170">
        <f t="shared" si="42"/>
        <v>1.4386497378652214E-3</v>
      </c>
      <c r="K148" s="177">
        <f t="shared" si="49"/>
        <v>2.7853792967921299E-4</v>
      </c>
      <c r="L148" s="176">
        <f t="shared" si="52"/>
        <v>1.1601118081860083E-3</v>
      </c>
      <c r="M148" s="173">
        <f t="shared" si="28"/>
        <v>9.7013646416579092E-5</v>
      </c>
      <c r="N148" s="174">
        <f t="shared" si="29"/>
        <v>1.2571254546025873E-3</v>
      </c>
      <c r="O148" s="173">
        <f t="shared" si="30"/>
        <v>0</v>
      </c>
      <c r="P148" s="173">
        <f t="shared" si="31"/>
        <v>0</v>
      </c>
      <c r="Q148" s="173">
        <v>0</v>
      </c>
      <c r="R148" s="174">
        <f t="shared" si="32"/>
        <v>1.2571254546025873E-3</v>
      </c>
    </row>
    <row r="149" spans="1:19" x14ac:dyDescent="0.25">
      <c r="A149" s="94">
        <v>10</v>
      </c>
      <c r="B149" s="166">
        <f t="shared" ref="B149:B211" si="54">DATE($R$1,A149,1)</f>
        <v>45566</v>
      </c>
      <c r="C149" s="186">
        <f t="shared" si="50"/>
        <v>45601</v>
      </c>
      <c r="D149" s="186">
        <f t="shared" si="50"/>
        <v>45621</v>
      </c>
      <c r="E149" s="52" t="s">
        <v>16</v>
      </c>
      <c r="F149" s="131">
        <v>9</v>
      </c>
      <c r="G149" s="168">
        <v>6</v>
      </c>
      <c r="H149" s="169">
        <f t="shared" si="51"/>
        <v>9.2845976559737667E-5</v>
      </c>
      <c r="I149" s="169">
        <f t="shared" si="53"/>
        <v>4.7954991262174045E-4</v>
      </c>
      <c r="J149" s="170">
        <f t="shared" ref="J149:J211" si="55">+$G149*I149</f>
        <v>2.8772994757304427E-3</v>
      </c>
      <c r="K149" s="177">
        <f t="shared" si="49"/>
        <v>5.5707585935842597E-4</v>
      </c>
      <c r="L149" s="176">
        <f t="shared" si="52"/>
        <v>2.3202236163720165E-3</v>
      </c>
      <c r="M149" s="173">
        <f t="shared" ref="M149:M211" si="56">G149/$G$212*$M$14</f>
        <v>1.9402729283315818E-4</v>
      </c>
      <c r="N149" s="174">
        <f t="shared" ref="N149:N211" si="57">SUM(L149:M149)</f>
        <v>2.5142509092051747E-3</v>
      </c>
      <c r="O149" s="173">
        <f t="shared" ref="O149:O211" si="58">+$P$3</f>
        <v>0</v>
      </c>
      <c r="P149" s="173">
        <f t="shared" ref="P149:P211" si="59">+G149*O149</f>
        <v>0</v>
      </c>
      <c r="Q149" s="173">
        <v>0</v>
      </c>
      <c r="R149" s="174">
        <f t="shared" ref="R149:R211" si="60">+N149-Q149</f>
        <v>2.5142509092051747E-3</v>
      </c>
    </row>
    <row r="150" spans="1:19" x14ac:dyDescent="0.25">
      <c r="A150" s="131">
        <v>11</v>
      </c>
      <c r="B150" s="166">
        <f t="shared" si="54"/>
        <v>45597</v>
      </c>
      <c r="C150" s="186">
        <f t="shared" si="50"/>
        <v>45630</v>
      </c>
      <c r="D150" s="186">
        <f t="shared" si="50"/>
        <v>45650</v>
      </c>
      <c r="E150" s="52" t="s">
        <v>16</v>
      </c>
      <c r="F150" s="131">
        <v>9</v>
      </c>
      <c r="G150" s="168">
        <v>1</v>
      </c>
      <c r="H150" s="169">
        <f t="shared" si="51"/>
        <v>9.2845976559737667E-5</v>
      </c>
      <c r="I150" s="169">
        <f t="shared" si="53"/>
        <v>4.7954991262174045E-4</v>
      </c>
      <c r="J150" s="170">
        <f t="shared" si="55"/>
        <v>4.7954991262174045E-4</v>
      </c>
      <c r="K150" s="177">
        <f t="shared" si="49"/>
        <v>9.2845976559737667E-5</v>
      </c>
      <c r="L150" s="176">
        <f t="shared" si="52"/>
        <v>3.8670393606200277E-4</v>
      </c>
      <c r="M150" s="173">
        <f t="shared" si="56"/>
        <v>3.23378821388597E-5</v>
      </c>
      <c r="N150" s="174">
        <f t="shared" si="57"/>
        <v>4.1904181820086247E-4</v>
      </c>
      <c r="O150" s="173">
        <f t="shared" si="58"/>
        <v>0</v>
      </c>
      <c r="P150" s="173">
        <f t="shared" si="59"/>
        <v>0</v>
      </c>
      <c r="Q150" s="173">
        <v>0</v>
      </c>
      <c r="R150" s="174">
        <f t="shared" si="60"/>
        <v>4.1904181820086247E-4</v>
      </c>
    </row>
    <row r="151" spans="1:19" s="190" customFormat="1" x14ac:dyDescent="0.25">
      <c r="A151" s="131">
        <v>12</v>
      </c>
      <c r="B151" s="188">
        <f t="shared" si="54"/>
        <v>45627</v>
      </c>
      <c r="C151" s="186">
        <f t="shared" si="50"/>
        <v>45660</v>
      </c>
      <c r="D151" s="186">
        <f t="shared" si="50"/>
        <v>45681</v>
      </c>
      <c r="E151" s="189" t="s">
        <v>16</v>
      </c>
      <c r="F151" s="142">
        <v>9</v>
      </c>
      <c r="G151" s="168">
        <v>3</v>
      </c>
      <c r="H151" s="178">
        <f t="shared" si="51"/>
        <v>9.2845976559737667E-5</v>
      </c>
      <c r="I151" s="178">
        <f t="shared" si="53"/>
        <v>4.7954991262174045E-4</v>
      </c>
      <c r="J151" s="179">
        <f t="shared" si="55"/>
        <v>1.4386497378652214E-3</v>
      </c>
      <c r="K151" s="180">
        <f t="shared" si="49"/>
        <v>2.7853792967921299E-4</v>
      </c>
      <c r="L151" s="181">
        <f t="shared" si="52"/>
        <v>1.1601118081860083E-3</v>
      </c>
      <c r="M151" s="173">
        <f t="shared" si="56"/>
        <v>9.7013646416579092E-5</v>
      </c>
      <c r="N151" s="174">
        <f t="shared" si="57"/>
        <v>1.2571254546025873E-3</v>
      </c>
      <c r="O151" s="173">
        <f t="shared" si="58"/>
        <v>0</v>
      </c>
      <c r="P151" s="173">
        <f t="shared" si="59"/>
        <v>0</v>
      </c>
      <c r="Q151" s="173">
        <v>0</v>
      </c>
      <c r="R151" s="174">
        <f t="shared" si="60"/>
        <v>1.2571254546025873E-3</v>
      </c>
    </row>
    <row r="152" spans="1:19" x14ac:dyDescent="0.25">
      <c r="A152" s="94">
        <v>1</v>
      </c>
      <c r="B152" s="166">
        <f t="shared" si="54"/>
        <v>45292</v>
      </c>
      <c r="C152" s="183">
        <f t="shared" ref="C152:D171" si="61">+C140</f>
        <v>45327</v>
      </c>
      <c r="D152" s="183">
        <f t="shared" si="61"/>
        <v>45348</v>
      </c>
      <c r="E152" s="193" t="s">
        <v>55</v>
      </c>
      <c r="F152" s="94">
        <v>9</v>
      </c>
      <c r="G152" s="168">
        <v>145</v>
      </c>
      <c r="H152" s="169">
        <f>+$K$3</f>
        <v>9.2845976559737667E-5</v>
      </c>
      <c r="I152" s="169">
        <f t="shared" si="53"/>
        <v>4.7954991262174045E-4</v>
      </c>
      <c r="J152" s="170">
        <f t="shared" si="55"/>
        <v>6.9534737330152363E-2</v>
      </c>
      <c r="K152" s="171">
        <f t="shared" si="49"/>
        <v>1.3462666601161962E-2</v>
      </c>
      <c r="L152" s="172">
        <f t="shared" si="52"/>
        <v>5.6072070728990397E-2</v>
      </c>
      <c r="M152" s="173">
        <f t="shared" si="56"/>
        <v>4.6889929101346563E-3</v>
      </c>
      <c r="N152" s="174">
        <f t="shared" si="57"/>
        <v>6.0761063639125056E-2</v>
      </c>
      <c r="O152" s="173">
        <f t="shared" si="58"/>
        <v>0</v>
      </c>
      <c r="P152" s="173">
        <f t="shared" si="59"/>
        <v>0</v>
      </c>
      <c r="Q152" s="173">
        <v>0</v>
      </c>
      <c r="R152" s="174">
        <f t="shared" si="60"/>
        <v>6.0761063639125056E-2</v>
      </c>
    </row>
    <row r="153" spans="1:19" x14ac:dyDescent="0.25">
      <c r="A153" s="131">
        <v>2</v>
      </c>
      <c r="B153" s="166">
        <f t="shared" si="54"/>
        <v>45323</v>
      </c>
      <c r="C153" s="186">
        <f t="shared" si="61"/>
        <v>45356</v>
      </c>
      <c r="D153" s="186">
        <f t="shared" si="61"/>
        <v>45376</v>
      </c>
      <c r="E153" s="194" t="s">
        <v>55</v>
      </c>
      <c r="F153" s="131">
        <v>9</v>
      </c>
      <c r="G153" s="168">
        <v>100</v>
      </c>
      <c r="H153" s="169">
        <f t="shared" ref="H153:H163" si="62">+$K$3</f>
        <v>9.2845976559737667E-5</v>
      </c>
      <c r="I153" s="169">
        <f t="shared" si="53"/>
        <v>4.7954991262174045E-4</v>
      </c>
      <c r="J153" s="170">
        <f t="shared" si="55"/>
        <v>4.7954991262174049E-2</v>
      </c>
      <c r="K153" s="171">
        <f t="shared" si="49"/>
        <v>9.284597655973767E-3</v>
      </c>
      <c r="L153" s="172">
        <f t="shared" si="52"/>
        <v>3.8670393606200282E-2</v>
      </c>
      <c r="M153" s="173">
        <f t="shared" si="56"/>
        <v>3.2337882138859702E-3</v>
      </c>
      <c r="N153" s="174">
        <f t="shared" si="57"/>
        <v>4.1904181820086255E-2</v>
      </c>
      <c r="O153" s="173">
        <f t="shared" si="58"/>
        <v>0</v>
      </c>
      <c r="P153" s="173">
        <f t="shared" si="59"/>
        <v>0</v>
      </c>
      <c r="Q153" s="173">
        <v>0</v>
      </c>
      <c r="R153" s="174">
        <f t="shared" si="60"/>
        <v>4.1904181820086255E-2</v>
      </c>
    </row>
    <row r="154" spans="1:19" x14ac:dyDescent="0.25">
      <c r="A154" s="131">
        <v>3</v>
      </c>
      <c r="B154" s="166">
        <f t="shared" si="54"/>
        <v>45352</v>
      </c>
      <c r="C154" s="186">
        <f t="shared" si="61"/>
        <v>45385</v>
      </c>
      <c r="D154" s="186">
        <f t="shared" si="61"/>
        <v>45406</v>
      </c>
      <c r="E154" s="194" t="s">
        <v>55</v>
      </c>
      <c r="F154" s="131">
        <v>9</v>
      </c>
      <c r="G154" s="168">
        <v>92</v>
      </c>
      <c r="H154" s="169">
        <f t="shared" si="62"/>
        <v>9.2845976559737667E-5</v>
      </c>
      <c r="I154" s="169">
        <f t="shared" si="53"/>
        <v>4.7954991262174045E-4</v>
      </c>
      <c r="J154" s="170">
        <f t="shared" si="55"/>
        <v>4.4118591961200118E-2</v>
      </c>
      <c r="K154" s="171">
        <f t="shared" si="49"/>
        <v>8.541829843495866E-3</v>
      </c>
      <c r="L154" s="172">
        <f>+J154-K154</f>
        <v>3.5576762117704254E-2</v>
      </c>
      <c r="M154" s="173">
        <f t="shared" si="56"/>
        <v>2.9750851567750922E-3</v>
      </c>
      <c r="N154" s="174">
        <f t="shared" si="57"/>
        <v>3.8551847274479349E-2</v>
      </c>
      <c r="O154" s="173">
        <f t="shared" si="58"/>
        <v>0</v>
      </c>
      <c r="P154" s="173">
        <f t="shared" si="59"/>
        <v>0</v>
      </c>
      <c r="Q154" s="173">
        <v>0</v>
      </c>
      <c r="R154" s="174">
        <f t="shared" si="60"/>
        <v>3.8551847274479349E-2</v>
      </c>
    </row>
    <row r="155" spans="1:19" x14ac:dyDescent="0.25">
      <c r="A155" s="94">
        <v>4</v>
      </c>
      <c r="B155" s="166">
        <f t="shared" si="54"/>
        <v>45383</v>
      </c>
      <c r="C155" s="186">
        <f t="shared" si="61"/>
        <v>45415</v>
      </c>
      <c r="D155" s="186">
        <f t="shared" si="61"/>
        <v>45436</v>
      </c>
      <c r="E155" s="194" t="s">
        <v>55</v>
      </c>
      <c r="F155" s="131">
        <v>9</v>
      </c>
      <c r="G155" s="168">
        <v>101</v>
      </c>
      <c r="H155" s="169">
        <f t="shared" si="62"/>
        <v>9.2845976559737667E-5</v>
      </c>
      <c r="I155" s="169">
        <f t="shared" si="53"/>
        <v>4.7954991262174045E-4</v>
      </c>
      <c r="J155" s="170">
        <f t="shared" si="55"/>
        <v>4.8434541174795787E-2</v>
      </c>
      <c r="K155" s="171">
        <f t="shared" si="49"/>
        <v>9.3774436325335039E-3</v>
      </c>
      <c r="L155" s="172">
        <f t="shared" ref="L155:L165" si="63">+J155-K155</f>
        <v>3.9057097542262283E-2</v>
      </c>
      <c r="M155" s="173">
        <f t="shared" si="56"/>
        <v>3.2661260960248299E-3</v>
      </c>
      <c r="N155" s="174">
        <f t="shared" si="57"/>
        <v>4.2323223638287111E-2</v>
      </c>
      <c r="O155" s="173">
        <f t="shared" si="58"/>
        <v>0</v>
      </c>
      <c r="P155" s="173">
        <f t="shared" si="59"/>
        <v>0</v>
      </c>
      <c r="Q155" s="173">
        <v>0</v>
      </c>
      <c r="R155" s="174">
        <f t="shared" si="60"/>
        <v>4.2323223638287111E-2</v>
      </c>
    </row>
    <row r="156" spans="1:19" x14ac:dyDescent="0.25">
      <c r="A156" s="131">
        <v>5</v>
      </c>
      <c r="B156" s="166">
        <f t="shared" si="54"/>
        <v>45413</v>
      </c>
      <c r="C156" s="186">
        <f t="shared" si="61"/>
        <v>45448</v>
      </c>
      <c r="D156" s="186">
        <f t="shared" si="61"/>
        <v>45467</v>
      </c>
      <c r="E156" s="194" t="s">
        <v>55</v>
      </c>
      <c r="F156" s="131">
        <v>9</v>
      </c>
      <c r="G156" s="168">
        <v>118</v>
      </c>
      <c r="H156" s="169">
        <f t="shared" si="62"/>
        <v>9.2845976559737667E-5</v>
      </c>
      <c r="I156" s="169">
        <f t="shared" si="53"/>
        <v>4.7954991262174045E-4</v>
      </c>
      <c r="J156" s="170">
        <f t="shared" si="55"/>
        <v>5.6586889689365372E-2</v>
      </c>
      <c r="K156" s="171">
        <f t="shared" si="49"/>
        <v>1.0955825234049045E-2</v>
      </c>
      <c r="L156" s="172">
        <f t="shared" si="63"/>
        <v>4.5631064455316325E-2</v>
      </c>
      <c r="M156" s="173">
        <f t="shared" si="56"/>
        <v>3.8158700923854446E-3</v>
      </c>
      <c r="N156" s="174">
        <f t="shared" si="57"/>
        <v>4.9446934547701771E-2</v>
      </c>
      <c r="O156" s="173">
        <f t="shared" si="58"/>
        <v>0</v>
      </c>
      <c r="P156" s="173">
        <f t="shared" si="59"/>
        <v>0</v>
      </c>
      <c r="Q156" s="173">
        <v>0</v>
      </c>
      <c r="R156" s="174">
        <f t="shared" si="60"/>
        <v>4.9446934547701771E-2</v>
      </c>
    </row>
    <row r="157" spans="1:19" x14ac:dyDescent="0.25">
      <c r="A157" s="131">
        <v>6</v>
      </c>
      <c r="B157" s="166">
        <f t="shared" si="54"/>
        <v>45444</v>
      </c>
      <c r="C157" s="186">
        <f t="shared" si="61"/>
        <v>45476</v>
      </c>
      <c r="D157" s="186">
        <f t="shared" si="61"/>
        <v>45497</v>
      </c>
      <c r="E157" s="194" t="s">
        <v>55</v>
      </c>
      <c r="F157" s="131">
        <v>9</v>
      </c>
      <c r="G157" s="168">
        <v>173</v>
      </c>
      <c r="H157" s="169">
        <f t="shared" si="62"/>
        <v>9.2845976559737667E-5</v>
      </c>
      <c r="I157" s="169">
        <f t="shared" si="53"/>
        <v>4.7954991262174045E-4</v>
      </c>
      <c r="J157" s="170">
        <f t="shared" si="55"/>
        <v>8.2962134883561092E-2</v>
      </c>
      <c r="K157" s="171">
        <f t="shared" si="49"/>
        <v>1.6062353944834615E-2</v>
      </c>
      <c r="L157" s="176">
        <f t="shared" si="63"/>
        <v>6.6899780938726477E-2</v>
      </c>
      <c r="M157" s="173">
        <f t="shared" si="56"/>
        <v>5.5944536100227277E-3</v>
      </c>
      <c r="N157" s="174">
        <f t="shared" si="57"/>
        <v>7.2494234548749203E-2</v>
      </c>
      <c r="O157" s="173">
        <f t="shared" si="58"/>
        <v>0</v>
      </c>
      <c r="P157" s="173">
        <f t="shared" si="59"/>
        <v>0</v>
      </c>
      <c r="Q157" s="173">
        <v>0</v>
      </c>
      <c r="R157" s="174">
        <f t="shared" si="60"/>
        <v>7.2494234548749203E-2</v>
      </c>
    </row>
    <row r="158" spans="1:19" x14ac:dyDescent="0.25">
      <c r="A158" s="94">
        <v>7</v>
      </c>
      <c r="B158" s="166">
        <f t="shared" si="54"/>
        <v>45474</v>
      </c>
      <c r="C158" s="186">
        <f t="shared" si="61"/>
        <v>45509</v>
      </c>
      <c r="D158" s="186">
        <f t="shared" si="61"/>
        <v>45530</v>
      </c>
      <c r="E158" s="194" t="s">
        <v>55</v>
      </c>
      <c r="F158" s="131">
        <v>9</v>
      </c>
      <c r="G158" s="168">
        <v>164</v>
      </c>
      <c r="H158" s="169">
        <f t="shared" si="62"/>
        <v>9.2845976559737667E-5</v>
      </c>
      <c r="I158" s="169">
        <f t="shared" si="53"/>
        <v>4.7954991262174045E-4</v>
      </c>
      <c r="J158" s="170">
        <f t="shared" si="55"/>
        <v>7.8646185669965438E-2</v>
      </c>
      <c r="K158" s="177">
        <f t="shared" si="49"/>
        <v>1.5226740155796977E-2</v>
      </c>
      <c r="L158" s="176">
        <f t="shared" si="63"/>
        <v>6.3419445514168463E-2</v>
      </c>
      <c r="M158" s="173">
        <f t="shared" si="56"/>
        <v>5.3034126707729905E-3</v>
      </c>
      <c r="N158" s="174">
        <f t="shared" si="57"/>
        <v>6.8722858184941449E-2</v>
      </c>
      <c r="O158" s="173">
        <f t="shared" si="58"/>
        <v>0</v>
      </c>
      <c r="P158" s="173">
        <f t="shared" si="59"/>
        <v>0</v>
      </c>
      <c r="Q158" s="173">
        <v>0</v>
      </c>
      <c r="R158" s="174">
        <f t="shared" si="60"/>
        <v>6.8722858184941449E-2</v>
      </c>
    </row>
    <row r="159" spans="1:19" x14ac:dyDescent="0.25">
      <c r="A159" s="131">
        <v>8</v>
      </c>
      <c r="B159" s="166">
        <f t="shared" si="54"/>
        <v>45505</v>
      </c>
      <c r="C159" s="186">
        <f t="shared" si="61"/>
        <v>45539</v>
      </c>
      <c r="D159" s="186">
        <f t="shared" si="61"/>
        <v>45559</v>
      </c>
      <c r="E159" s="194" t="s">
        <v>55</v>
      </c>
      <c r="F159" s="94">
        <v>9</v>
      </c>
      <c r="G159" s="168">
        <v>170</v>
      </c>
      <c r="H159" s="169">
        <f t="shared" si="62"/>
        <v>9.2845976559737667E-5</v>
      </c>
      <c r="I159" s="169">
        <f t="shared" si="53"/>
        <v>4.7954991262174045E-4</v>
      </c>
      <c r="J159" s="170">
        <f t="shared" si="55"/>
        <v>8.1523485145695879E-2</v>
      </c>
      <c r="K159" s="177">
        <f t="shared" si="49"/>
        <v>1.5783816015155404E-2</v>
      </c>
      <c r="L159" s="176">
        <f t="shared" si="63"/>
        <v>6.5739669130540468E-2</v>
      </c>
      <c r="M159" s="173">
        <f t="shared" si="56"/>
        <v>5.4974399636061487E-3</v>
      </c>
      <c r="N159" s="174">
        <f t="shared" si="57"/>
        <v>7.1237109094146614E-2</v>
      </c>
      <c r="O159" s="173">
        <f t="shared" si="58"/>
        <v>0</v>
      </c>
      <c r="P159" s="173">
        <f t="shared" si="59"/>
        <v>0</v>
      </c>
      <c r="Q159" s="173">
        <v>0</v>
      </c>
      <c r="R159" s="174">
        <f t="shared" si="60"/>
        <v>7.1237109094146614E-2</v>
      </c>
      <c r="S159" s="50"/>
    </row>
    <row r="160" spans="1:19" x14ac:dyDescent="0.25">
      <c r="A160" s="131">
        <v>9</v>
      </c>
      <c r="B160" s="166">
        <f t="shared" si="54"/>
        <v>45536</v>
      </c>
      <c r="C160" s="186">
        <f t="shared" si="61"/>
        <v>45568</v>
      </c>
      <c r="D160" s="186">
        <f t="shared" si="61"/>
        <v>45589</v>
      </c>
      <c r="E160" s="194" t="s">
        <v>55</v>
      </c>
      <c r="F160" s="94">
        <v>9</v>
      </c>
      <c r="G160" s="168">
        <v>156</v>
      </c>
      <c r="H160" s="169">
        <f t="shared" si="62"/>
        <v>9.2845976559737667E-5</v>
      </c>
      <c r="I160" s="169">
        <f t="shared" si="53"/>
        <v>4.7954991262174045E-4</v>
      </c>
      <c r="J160" s="170">
        <f t="shared" si="55"/>
        <v>7.4809786368991507E-2</v>
      </c>
      <c r="K160" s="177">
        <f t="shared" si="49"/>
        <v>1.4483972343319076E-2</v>
      </c>
      <c r="L160" s="176">
        <f t="shared" si="63"/>
        <v>6.0325814025672428E-2</v>
      </c>
      <c r="M160" s="173">
        <f t="shared" si="56"/>
        <v>5.044709613662113E-3</v>
      </c>
      <c r="N160" s="174">
        <f t="shared" si="57"/>
        <v>6.5370523639334543E-2</v>
      </c>
      <c r="O160" s="173">
        <f t="shared" si="58"/>
        <v>0</v>
      </c>
      <c r="P160" s="173">
        <f t="shared" si="59"/>
        <v>0</v>
      </c>
      <c r="Q160" s="173">
        <v>0</v>
      </c>
      <c r="R160" s="174">
        <f t="shared" si="60"/>
        <v>6.5370523639334543E-2</v>
      </c>
    </row>
    <row r="161" spans="1:19" x14ac:dyDescent="0.25">
      <c r="A161" s="94">
        <v>10</v>
      </c>
      <c r="B161" s="166">
        <f t="shared" si="54"/>
        <v>45566</v>
      </c>
      <c r="C161" s="186">
        <f t="shared" si="61"/>
        <v>45601</v>
      </c>
      <c r="D161" s="186">
        <f t="shared" si="61"/>
        <v>45621</v>
      </c>
      <c r="E161" s="194" t="s">
        <v>55</v>
      </c>
      <c r="F161" s="94">
        <v>9</v>
      </c>
      <c r="G161" s="168">
        <v>139</v>
      </c>
      <c r="H161" s="169">
        <f t="shared" si="62"/>
        <v>9.2845976559737667E-5</v>
      </c>
      <c r="I161" s="169">
        <f t="shared" si="53"/>
        <v>4.7954991262174045E-4</v>
      </c>
      <c r="J161" s="170">
        <f t="shared" si="55"/>
        <v>6.6657437854421922E-2</v>
      </c>
      <c r="K161" s="177">
        <f t="shared" si="49"/>
        <v>1.2905590741803535E-2</v>
      </c>
      <c r="L161" s="176">
        <f t="shared" si="63"/>
        <v>5.3751847112618385E-2</v>
      </c>
      <c r="M161" s="173">
        <f t="shared" si="56"/>
        <v>4.4949656173014982E-3</v>
      </c>
      <c r="N161" s="174">
        <f t="shared" si="57"/>
        <v>5.8246812729919883E-2</v>
      </c>
      <c r="O161" s="173">
        <f t="shared" si="58"/>
        <v>0</v>
      </c>
      <c r="P161" s="173">
        <f t="shared" si="59"/>
        <v>0</v>
      </c>
      <c r="Q161" s="173">
        <v>0</v>
      </c>
      <c r="R161" s="174">
        <f t="shared" si="60"/>
        <v>5.8246812729919883E-2</v>
      </c>
    </row>
    <row r="162" spans="1:19" x14ac:dyDescent="0.25">
      <c r="A162" s="131">
        <v>11</v>
      </c>
      <c r="B162" s="166">
        <f t="shared" si="54"/>
        <v>45597</v>
      </c>
      <c r="C162" s="186">
        <f t="shared" si="61"/>
        <v>45630</v>
      </c>
      <c r="D162" s="186">
        <f t="shared" si="61"/>
        <v>45650</v>
      </c>
      <c r="E162" s="194" t="s">
        <v>55</v>
      </c>
      <c r="F162" s="94">
        <v>9</v>
      </c>
      <c r="G162" s="168">
        <v>90</v>
      </c>
      <c r="H162" s="169">
        <f t="shared" si="62"/>
        <v>9.2845976559737667E-5</v>
      </c>
      <c r="I162" s="169">
        <f t="shared" si="53"/>
        <v>4.7954991262174045E-4</v>
      </c>
      <c r="J162" s="170">
        <f t="shared" si="55"/>
        <v>4.3159492135956642E-2</v>
      </c>
      <c r="K162" s="177">
        <f t="shared" si="49"/>
        <v>8.3561378903763903E-3</v>
      </c>
      <c r="L162" s="176">
        <f t="shared" si="63"/>
        <v>3.4803354245580252E-2</v>
      </c>
      <c r="M162" s="173">
        <f t="shared" si="56"/>
        <v>2.9104093924973732E-3</v>
      </c>
      <c r="N162" s="174">
        <f t="shared" si="57"/>
        <v>3.7713763638077623E-2</v>
      </c>
      <c r="O162" s="173">
        <f t="shared" si="58"/>
        <v>0</v>
      </c>
      <c r="P162" s="173">
        <f t="shared" si="59"/>
        <v>0</v>
      </c>
      <c r="Q162" s="173">
        <v>0</v>
      </c>
      <c r="R162" s="174">
        <f t="shared" si="60"/>
        <v>3.7713763638077623E-2</v>
      </c>
    </row>
    <row r="163" spans="1:19" s="190" customFormat="1" x14ac:dyDescent="0.25">
      <c r="A163" s="131">
        <v>12</v>
      </c>
      <c r="B163" s="188">
        <f t="shared" si="54"/>
        <v>45627</v>
      </c>
      <c r="C163" s="186">
        <f t="shared" si="61"/>
        <v>45660</v>
      </c>
      <c r="D163" s="186">
        <f t="shared" si="61"/>
        <v>45681</v>
      </c>
      <c r="E163" s="195" t="s">
        <v>55</v>
      </c>
      <c r="F163" s="142">
        <v>9</v>
      </c>
      <c r="G163" s="168">
        <v>110</v>
      </c>
      <c r="H163" s="178">
        <f t="shared" si="62"/>
        <v>9.2845976559737667E-5</v>
      </c>
      <c r="I163" s="178">
        <f t="shared" si="53"/>
        <v>4.7954991262174045E-4</v>
      </c>
      <c r="J163" s="179">
        <f t="shared" si="55"/>
        <v>5.2750490388391448E-2</v>
      </c>
      <c r="K163" s="180">
        <f t="shared" si="49"/>
        <v>1.0213057421571144E-2</v>
      </c>
      <c r="L163" s="181">
        <f t="shared" si="63"/>
        <v>4.2537432966820304E-2</v>
      </c>
      <c r="M163" s="173">
        <f t="shared" si="56"/>
        <v>3.5571670352745667E-3</v>
      </c>
      <c r="N163" s="174">
        <f t="shared" si="57"/>
        <v>4.6094600002094872E-2</v>
      </c>
      <c r="O163" s="173">
        <f t="shared" si="58"/>
        <v>0</v>
      </c>
      <c r="P163" s="173">
        <f t="shared" si="59"/>
        <v>0</v>
      </c>
      <c r="Q163" s="173">
        <v>0</v>
      </c>
      <c r="R163" s="174">
        <f t="shared" si="60"/>
        <v>4.6094600002094872E-2</v>
      </c>
    </row>
    <row r="164" spans="1:19" x14ac:dyDescent="0.25">
      <c r="A164" s="94">
        <v>1</v>
      </c>
      <c r="B164" s="166">
        <f t="shared" si="54"/>
        <v>45292</v>
      </c>
      <c r="C164" s="183">
        <f t="shared" si="61"/>
        <v>45327</v>
      </c>
      <c r="D164" s="183">
        <f t="shared" si="61"/>
        <v>45348</v>
      </c>
      <c r="E164" s="193" t="s">
        <v>56</v>
      </c>
      <c r="F164" s="94">
        <v>9</v>
      </c>
      <c r="G164" s="168">
        <v>9</v>
      </c>
      <c r="H164" s="169">
        <f>+$K$3</f>
        <v>9.2845976559737667E-5</v>
      </c>
      <c r="I164" s="169">
        <f t="shared" si="53"/>
        <v>4.7954991262174045E-4</v>
      </c>
      <c r="J164" s="170">
        <f t="shared" si="55"/>
        <v>4.3159492135956641E-3</v>
      </c>
      <c r="K164" s="171">
        <f t="shared" si="49"/>
        <v>8.3561378903763896E-4</v>
      </c>
      <c r="L164" s="172">
        <f t="shared" si="63"/>
        <v>3.4803354245580252E-3</v>
      </c>
      <c r="M164" s="173">
        <f t="shared" si="56"/>
        <v>2.9104093924973729E-4</v>
      </c>
      <c r="N164" s="174">
        <f t="shared" si="57"/>
        <v>3.7713763638077625E-3</v>
      </c>
      <c r="O164" s="173">
        <f t="shared" si="58"/>
        <v>0</v>
      </c>
      <c r="P164" s="173">
        <f t="shared" si="59"/>
        <v>0</v>
      </c>
      <c r="Q164" s="173">
        <v>0</v>
      </c>
      <c r="R164" s="174">
        <f t="shared" si="60"/>
        <v>3.7713763638077625E-3</v>
      </c>
    </row>
    <row r="165" spans="1:19" x14ac:dyDescent="0.25">
      <c r="A165" s="131">
        <v>2</v>
      </c>
      <c r="B165" s="166">
        <f t="shared" si="54"/>
        <v>45323</v>
      </c>
      <c r="C165" s="186">
        <f t="shared" si="61"/>
        <v>45356</v>
      </c>
      <c r="D165" s="186">
        <f t="shared" si="61"/>
        <v>45376</v>
      </c>
      <c r="E165" s="194" t="s">
        <v>56</v>
      </c>
      <c r="F165" s="131">
        <v>9</v>
      </c>
      <c r="G165" s="168">
        <v>8</v>
      </c>
      <c r="H165" s="169">
        <f t="shared" ref="H165:H175" si="64">+$K$3</f>
        <v>9.2845976559737667E-5</v>
      </c>
      <c r="I165" s="169">
        <f t="shared" si="53"/>
        <v>4.7954991262174045E-4</v>
      </c>
      <c r="J165" s="170">
        <f t="shared" si="55"/>
        <v>3.8363993009739236E-3</v>
      </c>
      <c r="K165" s="171">
        <f t="shared" si="49"/>
        <v>7.4276781247790134E-4</v>
      </c>
      <c r="L165" s="172">
        <f t="shared" si="63"/>
        <v>3.0936314884960222E-3</v>
      </c>
      <c r="M165" s="173">
        <f t="shared" si="56"/>
        <v>2.587030571108776E-4</v>
      </c>
      <c r="N165" s="174">
        <f t="shared" si="57"/>
        <v>3.3523345456068997E-3</v>
      </c>
      <c r="O165" s="173">
        <f t="shared" si="58"/>
        <v>0</v>
      </c>
      <c r="P165" s="173">
        <f t="shared" si="59"/>
        <v>0</v>
      </c>
      <c r="Q165" s="173">
        <v>0</v>
      </c>
      <c r="R165" s="174">
        <f t="shared" si="60"/>
        <v>3.3523345456068997E-3</v>
      </c>
    </row>
    <row r="166" spans="1:19" x14ac:dyDescent="0.25">
      <c r="A166" s="131">
        <v>3</v>
      </c>
      <c r="B166" s="166">
        <f t="shared" si="54"/>
        <v>45352</v>
      </c>
      <c r="C166" s="186">
        <f t="shared" si="61"/>
        <v>45385</v>
      </c>
      <c r="D166" s="186">
        <f t="shared" si="61"/>
        <v>45406</v>
      </c>
      <c r="E166" s="194" t="s">
        <v>56</v>
      </c>
      <c r="F166" s="131">
        <v>9</v>
      </c>
      <c r="G166" s="168">
        <v>10</v>
      </c>
      <c r="H166" s="169">
        <f t="shared" si="64"/>
        <v>9.2845976559737667E-5</v>
      </c>
      <c r="I166" s="169">
        <f t="shared" si="53"/>
        <v>4.7954991262174045E-4</v>
      </c>
      <c r="J166" s="170">
        <f t="shared" si="55"/>
        <v>4.7954991262174045E-3</v>
      </c>
      <c r="K166" s="171">
        <f t="shared" si="49"/>
        <v>9.284597655973767E-4</v>
      </c>
      <c r="L166" s="172">
        <f>+J166-K166</f>
        <v>3.8670393606200278E-3</v>
      </c>
      <c r="M166" s="173">
        <f t="shared" si="56"/>
        <v>3.2337882138859704E-4</v>
      </c>
      <c r="N166" s="174">
        <f t="shared" si="57"/>
        <v>4.1904181820086248E-3</v>
      </c>
      <c r="O166" s="173">
        <f t="shared" si="58"/>
        <v>0</v>
      </c>
      <c r="P166" s="173">
        <f t="shared" si="59"/>
        <v>0</v>
      </c>
      <c r="Q166" s="173">
        <v>0</v>
      </c>
      <c r="R166" s="174">
        <f t="shared" si="60"/>
        <v>4.1904181820086248E-3</v>
      </c>
    </row>
    <row r="167" spans="1:19" x14ac:dyDescent="0.25">
      <c r="A167" s="94">
        <v>4</v>
      </c>
      <c r="B167" s="166">
        <f t="shared" si="54"/>
        <v>45383</v>
      </c>
      <c r="C167" s="186">
        <f t="shared" si="61"/>
        <v>45415</v>
      </c>
      <c r="D167" s="186">
        <f t="shared" si="61"/>
        <v>45436</v>
      </c>
      <c r="E167" s="194" t="s">
        <v>56</v>
      </c>
      <c r="F167" s="131">
        <v>9</v>
      </c>
      <c r="G167" s="168">
        <v>7</v>
      </c>
      <c r="H167" s="169">
        <f t="shared" si="64"/>
        <v>9.2845976559737667E-5</v>
      </c>
      <c r="I167" s="169">
        <f t="shared" si="53"/>
        <v>4.7954991262174045E-4</v>
      </c>
      <c r="J167" s="170">
        <f t="shared" si="55"/>
        <v>3.3568493883521832E-3</v>
      </c>
      <c r="K167" s="171">
        <f t="shared" si="49"/>
        <v>6.4992183591816371E-4</v>
      </c>
      <c r="L167" s="172">
        <f t="shared" ref="L167:L177" si="65">+J167-K167</f>
        <v>2.7069275524340196E-3</v>
      </c>
      <c r="M167" s="173">
        <f t="shared" si="56"/>
        <v>2.263651749720179E-4</v>
      </c>
      <c r="N167" s="174">
        <f t="shared" si="57"/>
        <v>2.9332927274060374E-3</v>
      </c>
      <c r="O167" s="173">
        <f t="shared" si="58"/>
        <v>0</v>
      </c>
      <c r="P167" s="173">
        <f t="shared" si="59"/>
        <v>0</v>
      </c>
      <c r="Q167" s="173">
        <v>0</v>
      </c>
      <c r="R167" s="174">
        <f t="shared" si="60"/>
        <v>2.9332927274060374E-3</v>
      </c>
    </row>
    <row r="168" spans="1:19" x14ac:dyDescent="0.25">
      <c r="A168" s="131">
        <v>5</v>
      </c>
      <c r="B168" s="166">
        <f t="shared" si="54"/>
        <v>45413</v>
      </c>
      <c r="C168" s="186">
        <f t="shared" si="61"/>
        <v>45448</v>
      </c>
      <c r="D168" s="186">
        <f t="shared" si="61"/>
        <v>45467</v>
      </c>
      <c r="E168" s="194" t="s">
        <v>56</v>
      </c>
      <c r="F168" s="131">
        <v>9</v>
      </c>
      <c r="G168" s="168">
        <v>10</v>
      </c>
      <c r="H168" s="169">
        <f t="shared" si="64"/>
        <v>9.2845976559737667E-5</v>
      </c>
      <c r="I168" s="169">
        <f t="shared" si="53"/>
        <v>4.7954991262174045E-4</v>
      </c>
      <c r="J168" s="170">
        <f t="shared" si="55"/>
        <v>4.7954991262174045E-3</v>
      </c>
      <c r="K168" s="171">
        <f t="shared" si="49"/>
        <v>9.284597655973767E-4</v>
      </c>
      <c r="L168" s="172">
        <f t="shared" si="65"/>
        <v>3.8670393606200278E-3</v>
      </c>
      <c r="M168" s="173">
        <f t="shared" si="56"/>
        <v>3.2337882138859704E-4</v>
      </c>
      <c r="N168" s="174">
        <f t="shared" si="57"/>
        <v>4.1904181820086248E-3</v>
      </c>
      <c r="O168" s="173">
        <f t="shared" si="58"/>
        <v>0</v>
      </c>
      <c r="P168" s="173">
        <f t="shared" si="59"/>
        <v>0</v>
      </c>
      <c r="Q168" s="173">
        <v>0</v>
      </c>
      <c r="R168" s="174">
        <f t="shared" si="60"/>
        <v>4.1904181820086248E-3</v>
      </c>
    </row>
    <row r="169" spans="1:19" x14ac:dyDescent="0.25">
      <c r="A169" s="131">
        <v>6</v>
      </c>
      <c r="B169" s="166">
        <f t="shared" si="54"/>
        <v>45444</v>
      </c>
      <c r="C169" s="186">
        <f t="shared" si="61"/>
        <v>45476</v>
      </c>
      <c r="D169" s="186">
        <f t="shared" si="61"/>
        <v>45497</v>
      </c>
      <c r="E169" s="194" t="s">
        <v>56</v>
      </c>
      <c r="F169" s="131">
        <v>9</v>
      </c>
      <c r="G169" s="168">
        <v>10</v>
      </c>
      <c r="H169" s="169">
        <f t="shared" si="64"/>
        <v>9.2845976559737667E-5</v>
      </c>
      <c r="I169" s="169">
        <f t="shared" si="53"/>
        <v>4.7954991262174045E-4</v>
      </c>
      <c r="J169" s="170">
        <f t="shared" si="55"/>
        <v>4.7954991262174045E-3</v>
      </c>
      <c r="K169" s="171">
        <f t="shared" si="49"/>
        <v>9.284597655973767E-4</v>
      </c>
      <c r="L169" s="176">
        <f t="shared" si="65"/>
        <v>3.8670393606200278E-3</v>
      </c>
      <c r="M169" s="173">
        <f t="shared" si="56"/>
        <v>3.2337882138859704E-4</v>
      </c>
      <c r="N169" s="174">
        <f t="shared" si="57"/>
        <v>4.1904181820086248E-3</v>
      </c>
      <c r="O169" s="173">
        <f t="shared" si="58"/>
        <v>0</v>
      </c>
      <c r="P169" s="173">
        <f t="shared" si="59"/>
        <v>0</v>
      </c>
      <c r="Q169" s="173">
        <v>0</v>
      </c>
      <c r="R169" s="174">
        <f t="shared" si="60"/>
        <v>4.1904181820086248E-3</v>
      </c>
    </row>
    <row r="170" spans="1:19" x14ac:dyDescent="0.25">
      <c r="A170" s="94">
        <v>7</v>
      </c>
      <c r="B170" s="166">
        <f t="shared" si="54"/>
        <v>45474</v>
      </c>
      <c r="C170" s="186">
        <f t="shared" si="61"/>
        <v>45509</v>
      </c>
      <c r="D170" s="186">
        <f t="shared" si="61"/>
        <v>45530</v>
      </c>
      <c r="E170" s="194" t="s">
        <v>56</v>
      </c>
      <c r="F170" s="131">
        <v>9</v>
      </c>
      <c r="G170" s="168">
        <v>12</v>
      </c>
      <c r="H170" s="169">
        <f t="shared" si="64"/>
        <v>9.2845976559737667E-5</v>
      </c>
      <c r="I170" s="169">
        <f t="shared" si="53"/>
        <v>4.7954991262174045E-4</v>
      </c>
      <c r="J170" s="170">
        <f t="shared" si="55"/>
        <v>5.7545989514608854E-3</v>
      </c>
      <c r="K170" s="177">
        <f t="shared" si="49"/>
        <v>1.1141517187168519E-3</v>
      </c>
      <c r="L170" s="176">
        <f t="shared" si="65"/>
        <v>4.640447232744033E-3</v>
      </c>
      <c r="M170" s="173">
        <f t="shared" si="56"/>
        <v>3.8805458566631637E-4</v>
      </c>
      <c r="N170" s="174">
        <f t="shared" si="57"/>
        <v>5.0285018184103494E-3</v>
      </c>
      <c r="O170" s="173">
        <f t="shared" si="58"/>
        <v>0</v>
      </c>
      <c r="P170" s="173">
        <f t="shared" si="59"/>
        <v>0</v>
      </c>
      <c r="Q170" s="173">
        <v>0</v>
      </c>
      <c r="R170" s="174">
        <f t="shared" si="60"/>
        <v>5.0285018184103494E-3</v>
      </c>
    </row>
    <row r="171" spans="1:19" x14ac:dyDescent="0.25">
      <c r="A171" s="131">
        <v>8</v>
      </c>
      <c r="B171" s="166">
        <f t="shared" si="54"/>
        <v>45505</v>
      </c>
      <c r="C171" s="186">
        <f t="shared" si="61"/>
        <v>45539</v>
      </c>
      <c r="D171" s="186">
        <f t="shared" si="61"/>
        <v>45559</v>
      </c>
      <c r="E171" s="194" t="s">
        <v>56</v>
      </c>
      <c r="F171" s="94">
        <v>9</v>
      </c>
      <c r="G171" s="168">
        <v>12</v>
      </c>
      <c r="H171" s="169">
        <f t="shared" si="64"/>
        <v>9.2845976559737667E-5</v>
      </c>
      <c r="I171" s="169">
        <f t="shared" si="53"/>
        <v>4.7954991262174045E-4</v>
      </c>
      <c r="J171" s="170">
        <f t="shared" si="55"/>
        <v>5.7545989514608854E-3</v>
      </c>
      <c r="K171" s="177">
        <f t="shared" si="49"/>
        <v>1.1141517187168519E-3</v>
      </c>
      <c r="L171" s="176">
        <f t="shared" si="65"/>
        <v>4.640447232744033E-3</v>
      </c>
      <c r="M171" s="173">
        <f t="shared" si="56"/>
        <v>3.8805458566631637E-4</v>
      </c>
      <c r="N171" s="174">
        <f t="shared" si="57"/>
        <v>5.0285018184103494E-3</v>
      </c>
      <c r="O171" s="173">
        <f t="shared" si="58"/>
        <v>0</v>
      </c>
      <c r="P171" s="173">
        <f t="shared" si="59"/>
        <v>0</v>
      </c>
      <c r="Q171" s="173">
        <v>0</v>
      </c>
      <c r="R171" s="174">
        <f t="shared" si="60"/>
        <v>5.0285018184103494E-3</v>
      </c>
      <c r="S171" s="50"/>
    </row>
    <row r="172" spans="1:19" x14ac:dyDescent="0.25">
      <c r="A172" s="131">
        <v>9</v>
      </c>
      <c r="B172" s="166">
        <f t="shared" si="54"/>
        <v>45536</v>
      </c>
      <c r="C172" s="186">
        <f t="shared" ref="C172:D175" si="66">+C160</f>
        <v>45568</v>
      </c>
      <c r="D172" s="186">
        <f t="shared" si="66"/>
        <v>45589</v>
      </c>
      <c r="E172" s="194" t="s">
        <v>56</v>
      </c>
      <c r="F172" s="94">
        <v>9</v>
      </c>
      <c r="G172" s="168">
        <v>11</v>
      </c>
      <c r="H172" s="169">
        <f t="shared" si="64"/>
        <v>9.2845976559737667E-5</v>
      </c>
      <c r="I172" s="169">
        <f t="shared" si="53"/>
        <v>4.7954991262174045E-4</v>
      </c>
      <c r="J172" s="170">
        <f t="shared" si="55"/>
        <v>5.275049038839145E-3</v>
      </c>
      <c r="K172" s="177">
        <f t="shared" si="49"/>
        <v>1.0213057421571143E-3</v>
      </c>
      <c r="L172" s="176">
        <f t="shared" si="65"/>
        <v>4.2537432966820304E-3</v>
      </c>
      <c r="M172" s="173">
        <f t="shared" si="56"/>
        <v>3.5571670352745668E-4</v>
      </c>
      <c r="N172" s="174">
        <f t="shared" si="57"/>
        <v>4.6094600002094871E-3</v>
      </c>
      <c r="O172" s="173">
        <f t="shared" si="58"/>
        <v>0</v>
      </c>
      <c r="P172" s="173">
        <f t="shared" si="59"/>
        <v>0</v>
      </c>
      <c r="Q172" s="173">
        <v>0</v>
      </c>
      <c r="R172" s="174">
        <f t="shared" si="60"/>
        <v>4.6094600002094871E-3</v>
      </c>
    </row>
    <row r="173" spans="1:19" x14ac:dyDescent="0.25">
      <c r="A173" s="94">
        <v>10</v>
      </c>
      <c r="B173" s="166">
        <f t="shared" si="54"/>
        <v>45566</v>
      </c>
      <c r="C173" s="186">
        <f t="shared" si="66"/>
        <v>45601</v>
      </c>
      <c r="D173" s="186">
        <f t="shared" si="66"/>
        <v>45621</v>
      </c>
      <c r="E173" s="194" t="s">
        <v>56</v>
      </c>
      <c r="F173" s="94">
        <v>9</v>
      </c>
      <c r="G173" s="168">
        <v>10</v>
      </c>
      <c r="H173" s="169">
        <f t="shared" si="64"/>
        <v>9.2845976559737667E-5</v>
      </c>
      <c r="I173" s="169">
        <f t="shared" si="53"/>
        <v>4.7954991262174045E-4</v>
      </c>
      <c r="J173" s="170">
        <f t="shared" si="55"/>
        <v>4.7954991262174045E-3</v>
      </c>
      <c r="K173" s="177">
        <f t="shared" si="49"/>
        <v>9.284597655973767E-4</v>
      </c>
      <c r="L173" s="176">
        <f t="shared" si="65"/>
        <v>3.8670393606200278E-3</v>
      </c>
      <c r="M173" s="173">
        <f t="shared" si="56"/>
        <v>3.2337882138859704E-4</v>
      </c>
      <c r="N173" s="174">
        <f t="shared" si="57"/>
        <v>4.1904181820086248E-3</v>
      </c>
      <c r="O173" s="173">
        <f t="shared" si="58"/>
        <v>0</v>
      </c>
      <c r="P173" s="173">
        <f t="shared" si="59"/>
        <v>0</v>
      </c>
      <c r="Q173" s="173">
        <v>0</v>
      </c>
      <c r="R173" s="174">
        <f t="shared" si="60"/>
        <v>4.1904181820086248E-3</v>
      </c>
    </row>
    <row r="174" spans="1:19" x14ac:dyDescent="0.25">
      <c r="A174" s="131">
        <v>11</v>
      </c>
      <c r="B174" s="166">
        <f t="shared" si="54"/>
        <v>45597</v>
      </c>
      <c r="C174" s="186">
        <f t="shared" si="66"/>
        <v>45630</v>
      </c>
      <c r="D174" s="186">
        <f t="shared" si="66"/>
        <v>45650</v>
      </c>
      <c r="E174" s="194" t="s">
        <v>56</v>
      </c>
      <c r="F174" s="94">
        <v>9</v>
      </c>
      <c r="G174" s="168">
        <v>10</v>
      </c>
      <c r="H174" s="169">
        <f t="shared" si="64"/>
        <v>9.2845976559737667E-5</v>
      </c>
      <c r="I174" s="169">
        <f t="shared" si="53"/>
        <v>4.7954991262174045E-4</v>
      </c>
      <c r="J174" s="170">
        <f t="shared" si="55"/>
        <v>4.7954991262174045E-3</v>
      </c>
      <c r="K174" s="177">
        <f t="shared" si="49"/>
        <v>9.284597655973767E-4</v>
      </c>
      <c r="L174" s="176">
        <f t="shared" si="65"/>
        <v>3.8670393606200278E-3</v>
      </c>
      <c r="M174" s="173">
        <f t="shared" si="56"/>
        <v>3.2337882138859704E-4</v>
      </c>
      <c r="N174" s="174">
        <f t="shared" si="57"/>
        <v>4.1904181820086248E-3</v>
      </c>
      <c r="O174" s="173">
        <f t="shared" si="58"/>
        <v>0</v>
      </c>
      <c r="P174" s="173">
        <f t="shared" si="59"/>
        <v>0</v>
      </c>
      <c r="Q174" s="173">
        <v>0</v>
      </c>
      <c r="R174" s="174">
        <f t="shared" si="60"/>
        <v>4.1904181820086248E-3</v>
      </c>
    </row>
    <row r="175" spans="1:19" s="190" customFormat="1" x14ac:dyDescent="0.25">
      <c r="A175" s="131">
        <v>12</v>
      </c>
      <c r="B175" s="188">
        <f t="shared" si="54"/>
        <v>45627</v>
      </c>
      <c r="C175" s="186">
        <f t="shared" si="66"/>
        <v>45660</v>
      </c>
      <c r="D175" s="186">
        <f t="shared" si="66"/>
        <v>45681</v>
      </c>
      <c r="E175" s="195" t="s">
        <v>56</v>
      </c>
      <c r="F175" s="142">
        <v>9</v>
      </c>
      <c r="G175" s="168">
        <v>10</v>
      </c>
      <c r="H175" s="178">
        <f t="shared" si="64"/>
        <v>9.2845976559737667E-5</v>
      </c>
      <c r="I175" s="178">
        <f t="shared" si="53"/>
        <v>4.7954991262174045E-4</v>
      </c>
      <c r="J175" s="179">
        <f t="shared" si="55"/>
        <v>4.7954991262174045E-3</v>
      </c>
      <c r="K175" s="180">
        <f t="shared" si="49"/>
        <v>9.284597655973767E-4</v>
      </c>
      <c r="L175" s="181">
        <f t="shared" si="65"/>
        <v>3.8670393606200278E-3</v>
      </c>
      <c r="M175" s="173">
        <f t="shared" si="56"/>
        <v>3.2337882138859704E-4</v>
      </c>
      <c r="N175" s="174">
        <f t="shared" si="57"/>
        <v>4.1904181820086248E-3</v>
      </c>
      <c r="O175" s="173">
        <f t="shared" si="58"/>
        <v>0</v>
      </c>
      <c r="P175" s="173">
        <f t="shared" si="59"/>
        <v>0</v>
      </c>
      <c r="Q175" s="173">
        <v>0</v>
      </c>
      <c r="R175" s="174">
        <f t="shared" si="60"/>
        <v>4.1904181820086248E-3</v>
      </c>
    </row>
    <row r="176" spans="1:19" x14ac:dyDescent="0.25">
      <c r="A176" s="94">
        <v>1</v>
      </c>
      <c r="B176" s="166">
        <f t="shared" si="54"/>
        <v>45292</v>
      </c>
      <c r="C176" s="183">
        <f t="shared" ref="C176:D187" si="67">+C152</f>
        <v>45327</v>
      </c>
      <c r="D176" s="183">
        <f t="shared" si="67"/>
        <v>45348</v>
      </c>
      <c r="E176" s="193" t="s">
        <v>57</v>
      </c>
      <c r="F176" s="131">
        <v>9</v>
      </c>
      <c r="G176" s="168">
        <v>26</v>
      </c>
      <c r="H176" s="169">
        <f>+$K$3</f>
        <v>9.2845976559737667E-5</v>
      </c>
      <c r="I176" s="169">
        <f t="shared" si="53"/>
        <v>4.7954991262174045E-4</v>
      </c>
      <c r="J176" s="170">
        <f t="shared" si="55"/>
        <v>1.2468297728165252E-2</v>
      </c>
      <c r="K176" s="171">
        <f t="shared" si="49"/>
        <v>2.4139953905531791E-3</v>
      </c>
      <c r="L176" s="172">
        <f t="shared" si="65"/>
        <v>1.0054302337612073E-2</v>
      </c>
      <c r="M176" s="173">
        <f t="shared" si="56"/>
        <v>8.4078493561035223E-4</v>
      </c>
      <c r="N176" s="174">
        <f t="shared" si="57"/>
        <v>1.0895087273222425E-2</v>
      </c>
      <c r="O176" s="173">
        <f t="shared" si="58"/>
        <v>0</v>
      </c>
      <c r="P176" s="173">
        <f t="shared" si="59"/>
        <v>0</v>
      </c>
      <c r="Q176" s="173">
        <v>0</v>
      </c>
      <c r="R176" s="174">
        <f t="shared" si="60"/>
        <v>1.0895087273222425E-2</v>
      </c>
    </row>
    <row r="177" spans="1:18" x14ac:dyDescent="0.25">
      <c r="A177" s="131">
        <v>2</v>
      </c>
      <c r="B177" s="166">
        <f t="shared" si="54"/>
        <v>45323</v>
      </c>
      <c r="C177" s="186">
        <f t="shared" si="67"/>
        <v>45356</v>
      </c>
      <c r="D177" s="186">
        <f t="shared" si="67"/>
        <v>45376</v>
      </c>
      <c r="E177" s="52" t="s">
        <v>57</v>
      </c>
      <c r="F177" s="131">
        <v>9</v>
      </c>
      <c r="G177" s="168">
        <v>19</v>
      </c>
      <c r="H177" s="169">
        <f t="shared" ref="H177:H187" si="68">+$K$3</f>
        <v>9.2845976559737667E-5</v>
      </c>
      <c r="I177" s="169">
        <f t="shared" si="53"/>
        <v>4.7954991262174045E-4</v>
      </c>
      <c r="J177" s="170">
        <f t="shared" si="55"/>
        <v>9.1114483398130677E-3</v>
      </c>
      <c r="K177" s="171">
        <f t="shared" si="49"/>
        <v>1.7640735546350158E-3</v>
      </c>
      <c r="L177" s="172">
        <f t="shared" si="65"/>
        <v>7.3473747851780522E-3</v>
      </c>
      <c r="M177" s="173">
        <f t="shared" si="56"/>
        <v>6.1441976063833438E-4</v>
      </c>
      <c r="N177" s="174">
        <f t="shared" si="57"/>
        <v>7.9617945458163863E-3</v>
      </c>
      <c r="O177" s="173">
        <f t="shared" si="58"/>
        <v>0</v>
      </c>
      <c r="P177" s="173">
        <f t="shared" si="59"/>
        <v>0</v>
      </c>
      <c r="Q177" s="173">
        <v>0</v>
      </c>
      <c r="R177" s="174">
        <f t="shared" si="60"/>
        <v>7.9617945458163863E-3</v>
      </c>
    </row>
    <row r="178" spans="1:18" x14ac:dyDescent="0.25">
      <c r="A178" s="131">
        <v>3</v>
      </c>
      <c r="B178" s="166">
        <f t="shared" si="54"/>
        <v>45352</v>
      </c>
      <c r="C178" s="186">
        <f t="shared" si="67"/>
        <v>45385</v>
      </c>
      <c r="D178" s="186">
        <f t="shared" si="67"/>
        <v>45406</v>
      </c>
      <c r="E178" s="52" t="s">
        <v>57</v>
      </c>
      <c r="F178" s="131">
        <v>9</v>
      </c>
      <c r="G178" s="168">
        <v>18</v>
      </c>
      <c r="H178" s="169">
        <f t="shared" si="68"/>
        <v>9.2845976559737667E-5</v>
      </c>
      <c r="I178" s="169">
        <f t="shared" si="53"/>
        <v>4.7954991262174045E-4</v>
      </c>
      <c r="J178" s="170">
        <f t="shared" si="55"/>
        <v>8.6318984271913281E-3</v>
      </c>
      <c r="K178" s="171">
        <f t="shared" si="49"/>
        <v>1.6712275780752779E-3</v>
      </c>
      <c r="L178" s="172">
        <f>+J178-K178</f>
        <v>6.9606708491160504E-3</v>
      </c>
      <c r="M178" s="173">
        <f t="shared" si="56"/>
        <v>5.8208187849947458E-4</v>
      </c>
      <c r="N178" s="174">
        <f t="shared" si="57"/>
        <v>7.5427527276155249E-3</v>
      </c>
      <c r="O178" s="173">
        <f t="shared" si="58"/>
        <v>0</v>
      </c>
      <c r="P178" s="173">
        <f t="shared" si="59"/>
        <v>0</v>
      </c>
      <c r="Q178" s="173">
        <v>0</v>
      </c>
      <c r="R178" s="174">
        <f t="shared" si="60"/>
        <v>7.5427527276155249E-3</v>
      </c>
    </row>
    <row r="179" spans="1:18" x14ac:dyDescent="0.25">
      <c r="A179" s="94">
        <v>4</v>
      </c>
      <c r="B179" s="166">
        <f t="shared" si="54"/>
        <v>45383</v>
      </c>
      <c r="C179" s="186">
        <f t="shared" si="67"/>
        <v>45415</v>
      </c>
      <c r="D179" s="186">
        <f t="shared" si="67"/>
        <v>45436</v>
      </c>
      <c r="E179" s="52" t="s">
        <v>57</v>
      </c>
      <c r="F179" s="131">
        <v>9</v>
      </c>
      <c r="G179" s="168">
        <v>22</v>
      </c>
      <c r="H179" s="169">
        <f t="shared" si="68"/>
        <v>9.2845976559737667E-5</v>
      </c>
      <c r="I179" s="169">
        <f t="shared" si="53"/>
        <v>4.7954991262174045E-4</v>
      </c>
      <c r="J179" s="170">
        <f t="shared" si="55"/>
        <v>1.055009807767829E-2</v>
      </c>
      <c r="K179" s="171">
        <f t="shared" si="49"/>
        <v>2.0426114843142286E-3</v>
      </c>
      <c r="L179" s="172">
        <f t="shared" ref="L179:L189" si="69">+J179-K179</f>
        <v>8.5074865933640609E-3</v>
      </c>
      <c r="M179" s="173">
        <f t="shared" si="56"/>
        <v>7.1143340705491335E-4</v>
      </c>
      <c r="N179" s="174">
        <f t="shared" si="57"/>
        <v>9.2189200004189741E-3</v>
      </c>
      <c r="O179" s="173">
        <f t="shared" si="58"/>
        <v>0</v>
      </c>
      <c r="P179" s="173">
        <f t="shared" si="59"/>
        <v>0</v>
      </c>
      <c r="Q179" s="173">
        <v>0</v>
      </c>
      <c r="R179" s="174">
        <f t="shared" si="60"/>
        <v>9.2189200004189741E-3</v>
      </c>
    </row>
    <row r="180" spans="1:18" x14ac:dyDescent="0.25">
      <c r="A180" s="131">
        <v>5</v>
      </c>
      <c r="B180" s="166">
        <f t="shared" si="54"/>
        <v>45413</v>
      </c>
      <c r="C180" s="186">
        <f t="shared" si="67"/>
        <v>45448</v>
      </c>
      <c r="D180" s="186">
        <f t="shared" si="67"/>
        <v>45467</v>
      </c>
      <c r="E180" s="52" t="s">
        <v>57</v>
      </c>
      <c r="F180" s="131">
        <v>9</v>
      </c>
      <c r="G180" s="168">
        <v>31</v>
      </c>
      <c r="H180" s="169">
        <f t="shared" si="68"/>
        <v>9.2845976559737667E-5</v>
      </c>
      <c r="I180" s="169">
        <f t="shared" ref="I180:I211" si="70">$J$3</f>
        <v>4.7954991262174045E-4</v>
      </c>
      <c r="J180" s="170">
        <f t="shared" si="55"/>
        <v>1.4866047291273953E-2</v>
      </c>
      <c r="K180" s="171">
        <f t="shared" si="49"/>
        <v>2.8782252733518675E-3</v>
      </c>
      <c r="L180" s="172">
        <f t="shared" si="69"/>
        <v>1.1987822017922086E-2</v>
      </c>
      <c r="M180" s="173">
        <f t="shared" si="56"/>
        <v>1.0024743463046507E-3</v>
      </c>
      <c r="N180" s="174">
        <f t="shared" si="57"/>
        <v>1.2990296364226737E-2</v>
      </c>
      <c r="O180" s="173">
        <f t="shared" si="58"/>
        <v>0</v>
      </c>
      <c r="P180" s="173">
        <f t="shared" si="59"/>
        <v>0</v>
      </c>
      <c r="Q180" s="173">
        <v>0</v>
      </c>
      <c r="R180" s="174">
        <f t="shared" si="60"/>
        <v>1.2990296364226737E-2</v>
      </c>
    </row>
    <row r="181" spans="1:18" x14ac:dyDescent="0.25">
      <c r="A181" s="131">
        <v>6</v>
      </c>
      <c r="B181" s="166">
        <f t="shared" si="54"/>
        <v>45444</v>
      </c>
      <c r="C181" s="186">
        <f t="shared" si="67"/>
        <v>45476</v>
      </c>
      <c r="D181" s="186">
        <f t="shared" si="67"/>
        <v>45497</v>
      </c>
      <c r="E181" s="52" t="s">
        <v>57</v>
      </c>
      <c r="F181" s="131">
        <v>9</v>
      </c>
      <c r="G181" s="168">
        <v>36</v>
      </c>
      <c r="H181" s="169">
        <f t="shared" si="68"/>
        <v>9.2845976559737667E-5</v>
      </c>
      <c r="I181" s="169">
        <f t="shared" si="70"/>
        <v>4.7954991262174045E-4</v>
      </c>
      <c r="J181" s="170">
        <f t="shared" si="55"/>
        <v>1.7263796854382656E-2</v>
      </c>
      <c r="K181" s="171">
        <f t="shared" si="49"/>
        <v>3.3424551561505558E-3</v>
      </c>
      <c r="L181" s="176">
        <f t="shared" si="69"/>
        <v>1.3921341698232101E-2</v>
      </c>
      <c r="M181" s="173">
        <f t="shared" si="56"/>
        <v>1.1641637569989492E-3</v>
      </c>
      <c r="N181" s="174">
        <f t="shared" si="57"/>
        <v>1.508550545523105E-2</v>
      </c>
      <c r="O181" s="173">
        <f t="shared" si="58"/>
        <v>0</v>
      </c>
      <c r="P181" s="173">
        <f t="shared" si="59"/>
        <v>0</v>
      </c>
      <c r="Q181" s="173">
        <v>0</v>
      </c>
      <c r="R181" s="174">
        <f t="shared" si="60"/>
        <v>1.508550545523105E-2</v>
      </c>
    </row>
    <row r="182" spans="1:18" x14ac:dyDescent="0.25">
      <c r="A182" s="94">
        <v>7</v>
      </c>
      <c r="B182" s="166">
        <f t="shared" si="54"/>
        <v>45474</v>
      </c>
      <c r="C182" s="186">
        <f t="shared" si="67"/>
        <v>45509</v>
      </c>
      <c r="D182" s="186">
        <f t="shared" si="67"/>
        <v>45530</v>
      </c>
      <c r="E182" s="52" t="s">
        <v>57</v>
      </c>
      <c r="F182" s="131">
        <v>9</v>
      </c>
      <c r="G182" s="168">
        <v>38</v>
      </c>
      <c r="H182" s="169">
        <f t="shared" si="68"/>
        <v>9.2845976559737667E-5</v>
      </c>
      <c r="I182" s="169">
        <f t="shared" si="70"/>
        <v>4.7954991262174045E-4</v>
      </c>
      <c r="J182" s="170">
        <f t="shared" si="55"/>
        <v>1.8222896679626135E-2</v>
      </c>
      <c r="K182" s="177">
        <f t="shared" si="49"/>
        <v>3.5281471092700315E-3</v>
      </c>
      <c r="L182" s="176">
        <f t="shared" si="69"/>
        <v>1.4694749570356104E-2</v>
      </c>
      <c r="M182" s="173">
        <f t="shared" si="56"/>
        <v>1.2288395212766688E-3</v>
      </c>
      <c r="N182" s="174">
        <f t="shared" si="57"/>
        <v>1.5923589091632773E-2</v>
      </c>
      <c r="O182" s="173">
        <f t="shared" si="58"/>
        <v>0</v>
      </c>
      <c r="P182" s="173">
        <f t="shared" si="59"/>
        <v>0</v>
      </c>
      <c r="Q182" s="173">
        <v>0</v>
      </c>
      <c r="R182" s="174">
        <f t="shared" si="60"/>
        <v>1.5923589091632773E-2</v>
      </c>
    </row>
    <row r="183" spans="1:18" x14ac:dyDescent="0.25">
      <c r="A183" s="131">
        <v>8</v>
      </c>
      <c r="B183" s="166">
        <f t="shared" si="54"/>
        <v>45505</v>
      </c>
      <c r="C183" s="186">
        <f t="shared" si="67"/>
        <v>45539</v>
      </c>
      <c r="D183" s="186">
        <f t="shared" si="67"/>
        <v>45559</v>
      </c>
      <c r="E183" s="52" t="s">
        <v>57</v>
      </c>
      <c r="F183" s="131">
        <v>9</v>
      </c>
      <c r="G183" s="168">
        <v>41</v>
      </c>
      <c r="H183" s="169">
        <f t="shared" si="68"/>
        <v>9.2845976559737667E-5</v>
      </c>
      <c r="I183" s="169">
        <f t="shared" si="70"/>
        <v>4.7954991262174045E-4</v>
      </c>
      <c r="J183" s="170">
        <f t="shared" si="55"/>
        <v>1.9661546417491359E-2</v>
      </c>
      <c r="K183" s="177">
        <f t="shared" si="49"/>
        <v>3.8066850389492442E-3</v>
      </c>
      <c r="L183" s="176">
        <f t="shared" si="69"/>
        <v>1.5854861378542116E-2</v>
      </c>
      <c r="M183" s="173">
        <f t="shared" si="56"/>
        <v>1.3258531676932476E-3</v>
      </c>
      <c r="N183" s="174">
        <f t="shared" si="57"/>
        <v>1.7180714546235362E-2</v>
      </c>
      <c r="O183" s="173">
        <f t="shared" si="58"/>
        <v>0</v>
      </c>
      <c r="P183" s="173">
        <f t="shared" si="59"/>
        <v>0</v>
      </c>
      <c r="Q183" s="173">
        <v>0</v>
      </c>
      <c r="R183" s="174">
        <f t="shared" si="60"/>
        <v>1.7180714546235362E-2</v>
      </c>
    </row>
    <row r="184" spans="1:18" x14ac:dyDescent="0.25">
      <c r="A184" s="131">
        <v>9</v>
      </c>
      <c r="B184" s="166">
        <f t="shared" si="54"/>
        <v>45536</v>
      </c>
      <c r="C184" s="186">
        <f t="shared" si="67"/>
        <v>45568</v>
      </c>
      <c r="D184" s="186">
        <f t="shared" si="67"/>
        <v>45589</v>
      </c>
      <c r="E184" s="52" t="s">
        <v>57</v>
      </c>
      <c r="F184" s="131">
        <v>9</v>
      </c>
      <c r="G184" s="168">
        <v>29</v>
      </c>
      <c r="H184" s="169">
        <f t="shared" si="68"/>
        <v>9.2845976559737667E-5</v>
      </c>
      <c r="I184" s="169">
        <f t="shared" si="70"/>
        <v>4.7954991262174045E-4</v>
      </c>
      <c r="J184" s="170">
        <f t="shared" si="55"/>
        <v>1.3906947466030474E-2</v>
      </c>
      <c r="K184" s="177">
        <f t="shared" si="49"/>
        <v>2.6925333202323922E-3</v>
      </c>
      <c r="L184" s="176">
        <f t="shared" si="69"/>
        <v>1.1214414145798081E-2</v>
      </c>
      <c r="M184" s="173">
        <f t="shared" si="56"/>
        <v>9.377985820269312E-4</v>
      </c>
      <c r="N184" s="174">
        <f t="shared" si="57"/>
        <v>1.2152212727825013E-2</v>
      </c>
      <c r="O184" s="173">
        <f t="shared" si="58"/>
        <v>0</v>
      </c>
      <c r="P184" s="173">
        <f t="shared" si="59"/>
        <v>0</v>
      </c>
      <c r="Q184" s="173">
        <v>0</v>
      </c>
      <c r="R184" s="174">
        <f t="shared" si="60"/>
        <v>1.2152212727825013E-2</v>
      </c>
    </row>
    <row r="185" spans="1:18" x14ac:dyDescent="0.25">
      <c r="A185" s="94">
        <v>10</v>
      </c>
      <c r="B185" s="166">
        <f t="shared" si="54"/>
        <v>45566</v>
      </c>
      <c r="C185" s="186">
        <f t="shared" si="67"/>
        <v>45601</v>
      </c>
      <c r="D185" s="186">
        <f t="shared" si="67"/>
        <v>45621</v>
      </c>
      <c r="E185" s="52" t="s">
        <v>57</v>
      </c>
      <c r="F185" s="131">
        <v>9</v>
      </c>
      <c r="G185" s="168">
        <v>26</v>
      </c>
      <c r="H185" s="169">
        <f t="shared" si="68"/>
        <v>9.2845976559737667E-5</v>
      </c>
      <c r="I185" s="169">
        <f t="shared" si="70"/>
        <v>4.7954991262174045E-4</v>
      </c>
      <c r="J185" s="170">
        <f t="shared" si="55"/>
        <v>1.2468297728165252E-2</v>
      </c>
      <c r="K185" s="177">
        <f t="shared" si="49"/>
        <v>2.4139953905531791E-3</v>
      </c>
      <c r="L185" s="176">
        <f t="shared" si="69"/>
        <v>1.0054302337612073E-2</v>
      </c>
      <c r="M185" s="173">
        <f t="shared" si="56"/>
        <v>8.4078493561035223E-4</v>
      </c>
      <c r="N185" s="174">
        <f t="shared" si="57"/>
        <v>1.0895087273222425E-2</v>
      </c>
      <c r="O185" s="173">
        <f t="shared" si="58"/>
        <v>0</v>
      </c>
      <c r="P185" s="173">
        <f t="shared" si="59"/>
        <v>0</v>
      </c>
      <c r="Q185" s="173">
        <v>0</v>
      </c>
      <c r="R185" s="174">
        <f t="shared" si="60"/>
        <v>1.0895087273222425E-2</v>
      </c>
    </row>
    <row r="186" spans="1:18" x14ac:dyDescent="0.25">
      <c r="A186" s="131">
        <v>11</v>
      </c>
      <c r="B186" s="166">
        <f t="shared" si="54"/>
        <v>45597</v>
      </c>
      <c r="C186" s="186">
        <f t="shared" si="67"/>
        <v>45630</v>
      </c>
      <c r="D186" s="186">
        <f t="shared" si="67"/>
        <v>45650</v>
      </c>
      <c r="E186" s="52" t="s">
        <v>57</v>
      </c>
      <c r="F186" s="131">
        <v>9</v>
      </c>
      <c r="G186" s="168">
        <v>22</v>
      </c>
      <c r="H186" s="169">
        <f t="shared" si="68"/>
        <v>9.2845976559737667E-5</v>
      </c>
      <c r="I186" s="169">
        <f t="shared" si="70"/>
        <v>4.7954991262174045E-4</v>
      </c>
      <c r="J186" s="170">
        <f t="shared" si="55"/>
        <v>1.055009807767829E-2</v>
      </c>
      <c r="K186" s="177">
        <f t="shared" si="49"/>
        <v>2.0426114843142286E-3</v>
      </c>
      <c r="L186" s="176">
        <f t="shared" si="69"/>
        <v>8.5074865933640609E-3</v>
      </c>
      <c r="M186" s="173">
        <f t="shared" si="56"/>
        <v>7.1143340705491335E-4</v>
      </c>
      <c r="N186" s="174">
        <f t="shared" si="57"/>
        <v>9.2189200004189741E-3</v>
      </c>
      <c r="O186" s="173">
        <f t="shared" si="58"/>
        <v>0</v>
      </c>
      <c r="P186" s="173">
        <f t="shared" si="59"/>
        <v>0</v>
      </c>
      <c r="Q186" s="173">
        <v>0</v>
      </c>
      <c r="R186" s="174">
        <f t="shared" si="60"/>
        <v>9.2189200004189741E-3</v>
      </c>
    </row>
    <row r="187" spans="1:18" s="190" customFormat="1" x14ac:dyDescent="0.25">
      <c r="A187" s="131">
        <v>12</v>
      </c>
      <c r="B187" s="188">
        <f t="shared" si="54"/>
        <v>45627</v>
      </c>
      <c r="C187" s="186">
        <f t="shared" si="67"/>
        <v>45660</v>
      </c>
      <c r="D187" s="186">
        <f t="shared" si="67"/>
        <v>45681</v>
      </c>
      <c r="E187" s="189" t="s">
        <v>57</v>
      </c>
      <c r="F187" s="142">
        <v>9</v>
      </c>
      <c r="G187" s="168">
        <v>18</v>
      </c>
      <c r="H187" s="178">
        <f t="shared" si="68"/>
        <v>9.2845976559737667E-5</v>
      </c>
      <c r="I187" s="178">
        <f t="shared" si="70"/>
        <v>4.7954991262174045E-4</v>
      </c>
      <c r="J187" s="179">
        <f t="shared" si="55"/>
        <v>8.6318984271913281E-3</v>
      </c>
      <c r="K187" s="180">
        <f t="shared" si="49"/>
        <v>1.6712275780752779E-3</v>
      </c>
      <c r="L187" s="181">
        <f t="shared" si="69"/>
        <v>6.9606708491160504E-3</v>
      </c>
      <c r="M187" s="173">
        <f t="shared" si="56"/>
        <v>5.8208187849947458E-4</v>
      </c>
      <c r="N187" s="174">
        <f t="shared" si="57"/>
        <v>7.5427527276155249E-3</v>
      </c>
      <c r="O187" s="173">
        <f t="shared" si="58"/>
        <v>0</v>
      </c>
      <c r="P187" s="173">
        <f t="shared" si="59"/>
        <v>0</v>
      </c>
      <c r="Q187" s="173">
        <v>0</v>
      </c>
      <c r="R187" s="174">
        <f t="shared" si="60"/>
        <v>7.5427527276155249E-3</v>
      </c>
    </row>
    <row r="188" spans="1:18" x14ac:dyDescent="0.25">
      <c r="A188" s="94">
        <v>1</v>
      </c>
      <c r="B188" s="166">
        <f t="shared" si="54"/>
        <v>45292</v>
      </c>
      <c r="C188" s="183">
        <f t="shared" ref="C188:D211" si="71">+C176</f>
        <v>45327</v>
      </c>
      <c r="D188" s="183">
        <f t="shared" si="71"/>
        <v>45348</v>
      </c>
      <c r="E188" s="167" t="s">
        <v>58</v>
      </c>
      <c r="F188" s="94">
        <v>9</v>
      </c>
      <c r="G188" s="168">
        <v>34</v>
      </c>
      <c r="H188" s="169">
        <f>+$K$3</f>
        <v>9.2845976559737667E-5</v>
      </c>
      <c r="I188" s="169">
        <f t="shared" si="70"/>
        <v>4.7954991262174045E-4</v>
      </c>
      <c r="J188" s="170">
        <f t="shared" si="55"/>
        <v>1.6304697029139177E-2</v>
      </c>
      <c r="K188" s="171">
        <f t="shared" si="49"/>
        <v>3.1567632030310806E-3</v>
      </c>
      <c r="L188" s="172">
        <f t="shared" si="69"/>
        <v>1.3147933826108096E-2</v>
      </c>
      <c r="M188" s="173">
        <f t="shared" si="56"/>
        <v>1.0994879927212298E-3</v>
      </c>
      <c r="N188" s="174">
        <f t="shared" si="57"/>
        <v>1.4247421818829325E-2</v>
      </c>
      <c r="O188" s="173">
        <f t="shared" si="58"/>
        <v>0</v>
      </c>
      <c r="P188" s="173">
        <f t="shared" si="59"/>
        <v>0</v>
      </c>
      <c r="Q188" s="173">
        <v>0</v>
      </c>
      <c r="R188" s="174">
        <f t="shared" si="60"/>
        <v>1.4247421818829325E-2</v>
      </c>
    </row>
    <row r="189" spans="1:18" x14ac:dyDescent="0.25">
      <c r="A189" s="131">
        <v>2</v>
      </c>
      <c r="B189" s="166">
        <f t="shared" si="54"/>
        <v>45323</v>
      </c>
      <c r="C189" s="186">
        <f t="shared" si="71"/>
        <v>45356</v>
      </c>
      <c r="D189" s="186">
        <f t="shared" si="71"/>
        <v>45376</v>
      </c>
      <c r="E189" s="175" t="s">
        <v>58</v>
      </c>
      <c r="F189" s="131">
        <v>9</v>
      </c>
      <c r="G189" s="168">
        <v>32</v>
      </c>
      <c r="H189" s="169">
        <f t="shared" ref="H189:H199" si="72">+$K$3</f>
        <v>9.2845976559737667E-5</v>
      </c>
      <c r="I189" s="169">
        <f t="shared" si="70"/>
        <v>4.7954991262174045E-4</v>
      </c>
      <c r="J189" s="170">
        <f t="shared" si="55"/>
        <v>1.5345597203895694E-2</v>
      </c>
      <c r="K189" s="171">
        <f t="shared" si="49"/>
        <v>2.9710712499116053E-3</v>
      </c>
      <c r="L189" s="172">
        <f t="shared" si="69"/>
        <v>1.2374525953984089E-2</v>
      </c>
      <c r="M189" s="173">
        <f t="shared" si="56"/>
        <v>1.0348122284435104E-3</v>
      </c>
      <c r="N189" s="174">
        <f t="shared" si="57"/>
        <v>1.3409338182427599E-2</v>
      </c>
      <c r="O189" s="173">
        <f t="shared" si="58"/>
        <v>0</v>
      </c>
      <c r="P189" s="173">
        <f t="shared" si="59"/>
        <v>0</v>
      </c>
      <c r="Q189" s="173">
        <v>0</v>
      </c>
      <c r="R189" s="174">
        <f t="shared" si="60"/>
        <v>1.3409338182427599E-2</v>
      </c>
    </row>
    <row r="190" spans="1:18" x14ac:dyDescent="0.25">
      <c r="A190" s="131">
        <v>3</v>
      </c>
      <c r="B190" s="166">
        <f t="shared" si="54"/>
        <v>45352</v>
      </c>
      <c r="C190" s="186">
        <f t="shared" si="71"/>
        <v>45385</v>
      </c>
      <c r="D190" s="186">
        <f t="shared" si="71"/>
        <v>45406</v>
      </c>
      <c r="E190" s="175" t="s">
        <v>58</v>
      </c>
      <c r="F190" s="131">
        <v>9</v>
      </c>
      <c r="G190" s="168">
        <v>32</v>
      </c>
      <c r="H190" s="169">
        <f t="shared" si="72"/>
        <v>9.2845976559737667E-5</v>
      </c>
      <c r="I190" s="169">
        <f t="shared" si="70"/>
        <v>4.7954991262174045E-4</v>
      </c>
      <c r="J190" s="170">
        <f t="shared" si="55"/>
        <v>1.5345597203895694E-2</v>
      </c>
      <c r="K190" s="171">
        <f t="shared" si="49"/>
        <v>2.9710712499116053E-3</v>
      </c>
      <c r="L190" s="172">
        <f>+J190-K190</f>
        <v>1.2374525953984089E-2</v>
      </c>
      <c r="M190" s="173">
        <f t="shared" si="56"/>
        <v>1.0348122284435104E-3</v>
      </c>
      <c r="N190" s="174">
        <f t="shared" si="57"/>
        <v>1.3409338182427599E-2</v>
      </c>
      <c r="O190" s="173">
        <f t="shared" si="58"/>
        <v>0</v>
      </c>
      <c r="P190" s="173">
        <f t="shared" si="59"/>
        <v>0</v>
      </c>
      <c r="Q190" s="173">
        <v>0</v>
      </c>
      <c r="R190" s="174">
        <f t="shared" si="60"/>
        <v>1.3409338182427599E-2</v>
      </c>
    </row>
    <row r="191" spans="1:18" x14ac:dyDescent="0.25">
      <c r="A191" s="94">
        <v>4</v>
      </c>
      <c r="B191" s="166">
        <f t="shared" si="54"/>
        <v>45383</v>
      </c>
      <c r="C191" s="186">
        <f t="shared" si="71"/>
        <v>45415</v>
      </c>
      <c r="D191" s="186">
        <f t="shared" si="71"/>
        <v>45436</v>
      </c>
      <c r="E191" s="52" t="s">
        <v>58</v>
      </c>
      <c r="F191" s="131">
        <v>9</v>
      </c>
      <c r="G191" s="168">
        <v>33</v>
      </c>
      <c r="H191" s="169">
        <f t="shared" si="72"/>
        <v>9.2845976559737667E-5</v>
      </c>
      <c r="I191" s="169">
        <f t="shared" si="70"/>
        <v>4.7954991262174045E-4</v>
      </c>
      <c r="J191" s="170">
        <f t="shared" si="55"/>
        <v>1.5825147116517436E-2</v>
      </c>
      <c r="K191" s="171">
        <f t="shared" si="49"/>
        <v>3.0639172264713432E-3</v>
      </c>
      <c r="L191" s="172">
        <f t="shared" ref="L191:L201" si="73">+J191-K191</f>
        <v>1.2761229890046093E-2</v>
      </c>
      <c r="M191" s="173">
        <f t="shared" si="56"/>
        <v>1.0671501105823701E-3</v>
      </c>
      <c r="N191" s="174">
        <f t="shared" si="57"/>
        <v>1.3828380000628464E-2</v>
      </c>
      <c r="O191" s="173">
        <f t="shared" si="58"/>
        <v>0</v>
      </c>
      <c r="P191" s="173">
        <f t="shared" si="59"/>
        <v>0</v>
      </c>
      <c r="Q191" s="173">
        <v>0</v>
      </c>
      <c r="R191" s="174">
        <f t="shared" si="60"/>
        <v>1.3828380000628464E-2</v>
      </c>
    </row>
    <row r="192" spans="1:18" x14ac:dyDescent="0.25">
      <c r="A192" s="131">
        <v>5</v>
      </c>
      <c r="B192" s="166">
        <f t="shared" si="54"/>
        <v>45413</v>
      </c>
      <c r="C192" s="186">
        <f t="shared" si="71"/>
        <v>45448</v>
      </c>
      <c r="D192" s="186">
        <f t="shared" si="71"/>
        <v>45467</v>
      </c>
      <c r="E192" s="52" t="s">
        <v>58</v>
      </c>
      <c r="F192" s="131">
        <v>9</v>
      </c>
      <c r="G192" s="168">
        <v>40</v>
      </c>
      <c r="H192" s="169">
        <f t="shared" si="72"/>
        <v>9.2845976559737667E-5</v>
      </c>
      <c r="I192" s="169">
        <f t="shared" si="70"/>
        <v>4.7954991262174045E-4</v>
      </c>
      <c r="J192" s="170">
        <f t="shared" si="55"/>
        <v>1.9181996504869618E-2</v>
      </c>
      <c r="K192" s="171">
        <f t="shared" si="49"/>
        <v>3.7138390623895068E-3</v>
      </c>
      <c r="L192" s="172">
        <f t="shared" si="73"/>
        <v>1.5468157442480111E-2</v>
      </c>
      <c r="M192" s="173">
        <f t="shared" si="56"/>
        <v>1.2935152855543882E-3</v>
      </c>
      <c r="N192" s="174">
        <f t="shared" si="57"/>
        <v>1.6761672728034499E-2</v>
      </c>
      <c r="O192" s="173">
        <f t="shared" si="58"/>
        <v>0</v>
      </c>
      <c r="P192" s="173">
        <f t="shared" si="59"/>
        <v>0</v>
      </c>
      <c r="Q192" s="173">
        <v>0</v>
      </c>
      <c r="R192" s="174">
        <f t="shared" si="60"/>
        <v>1.6761672728034499E-2</v>
      </c>
    </row>
    <row r="193" spans="1:18" x14ac:dyDescent="0.25">
      <c r="A193" s="131">
        <v>6</v>
      </c>
      <c r="B193" s="166">
        <f t="shared" si="54"/>
        <v>45444</v>
      </c>
      <c r="C193" s="186">
        <f t="shared" si="71"/>
        <v>45476</v>
      </c>
      <c r="D193" s="186">
        <f t="shared" si="71"/>
        <v>45497</v>
      </c>
      <c r="E193" s="52" t="s">
        <v>58</v>
      </c>
      <c r="F193" s="131">
        <v>9</v>
      </c>
      <c r="G193" s="168">
        <v>47</v>
      </c>
      <c r="H193" s="169">
        <f t="shared" si="72"/>
        <v>9.2845976559737667E-5</v>
      </c>
      <c r="I193" s="169">
        <f t="shared" si="70"/>
        <v>4.7954991262174045E-4</v>
      </c>
      <c r="J193" s="170">
        <f t="shared" si="55"/>
        <v>2.25388458932218E-2</v>
      </c>
      <c r="K193" s="171">
        <f t="shared" si="49"/>
        <v>4.36376089830767E-3</v>
      </c>
      <c r="L193" s="176">
        <f t="shared" si="73"/>
        <v>1.8175084994914131E-2</v>
      </c>
      <c r="M193" s="173">
        <f t="shared" si="56"/>
        <v>1.519880460526406E-3</v>
      </c>
      <c r="N193" s="174">
        <f t="shared" si="57"/>
        <v>1.9694965455440538E-2</v>
      </c>
      <c r="O193" s="173">
        <f t="shared" si="58"/>
        <v>0</v>
      </c>
      <c r="P193" s="173">
        <f t="shared" si="59"/>
        <v>0</v>
      </c>
      <c r="Q193" s="173">
        <v>0</v>
      </c>
      <c r="R193" s="174">
        <f t="shared" si="60"/>
        <v>1.9694965455440538E-2</v>
      </c>
    </row>
    <row r="194" spans="1:18" x14ac:dyDescent="0.25">
      <c r="A194" s="94">
        <v>7</v>
      </c>
      <c r="B194" s="166">
        <f t="shared" si="54"/>
        <v>45474</v>
      </c>
      <c r="C194" s="186">
        <f t="shared" si="71"/>
        <v>45509</v>
      </c>
      <c r="D194" s="186">
        <f t="shared" si="71"/>
        <v>45530</v>
      </c>
      <c r="E194" s="52" t="s">
        <v>58</v>
      </c>
      <c r="F194" s="131">
        <v>9</v>
      </c>
      <c r="G194" s="168">
        <v>47</v>
      </c>
      <c r="H194" s="169">
        <f t="shared" si="72"/>
        <v>9.2845976559737667E-5</v>
      </c>
      <c r="I194" s="169">
        <f t="shared" si="70"/>
        <v>4.7954991262174045E-4</v>
      </c>
      <c r="J194" s="170">
        <f t="shared" si="55"/>
        <v>2.25388458932218E-2</v>
      </c>
      <c r="K194" s="177">
        <f t="shared" si="49"/>
        <v>4.36376089830767E-3</v>
      </c>
      <c r="L194" s="176">
        <f t="shared" si="73"/>
        <v>1.8175084994914131E-2</v>
      </c>
      <c r="M194" s="173">
        <f t="shared" si="56"/>
        <v>1.519880460526406E-3</v>
      </c>
      <c r="N194" s="174">
        <f t="shared" si="57"/>
        <v>1.9694965455440538E-2</v>
      </c>
      <c r="O194" s="173">
        <f t="shared" si="58"/>
        <v>0</v>
      </c>
      <c r="P194" s="173">
        <f t="shared" si="59"/>
        <v>0</v>
      </c>
      <c r="Q194" s="173">
        <v>0</v>
      </c>
      <c r="R194" s="174">
        <f t="shared" si="60"/>
        <v>1.9694965455440538E-2</v>
      </c>
    </row>
    <row r="195" spans="1:18" x14ac:dyDescent="0.25">
      <c r="A195" s="131">
        <v>8</v>
      </c>
      <c r="B195" s="166">
        <f t="shared" si="54"/>
        <v>45505</v>
      </c>
      <c r="C195" s="186">
        <f t="shared" si="71"/>
        <v>45539</v>
      </c>
      <c r="D195" s="186">
        <f t="shared" si="71"/>
        <v>45559</v>
      </c>
      <c r="E195" s="52" t="s">
        <v>58</v>
      </c>
      <c r="F195" s="131">
        <v>9</v>
      </c>
      <c r="G195" s="168">
        <v>51</v>
      </c>
      <c r="H195" s="169">
        <f t="shared" si="72"/>
        <v>9.2845976559737667E-5</v>
      </c>
      <c r="I195" s="169">
        <f t="shared" si="70"/>
        <v>4.7954991262174045E-4</v>
      </c>
      <c r="J195" s="170">
        <f t="shared" si="55"/>
        <v>2.4457045543708762E-2</v>
      </c>
      <c r="K195" s="177">
        <f t="shared" si="49"/>
        <v>4.7351448045466213E-3</v>
      </c>
      <c r="L195" s="176">
        <f t="shared" si="73"/>
        <v>1.9721900739162142E-2</v>
      </c>
      <c r="M195" s="173">
        <f t="shared" si="56"/>
        <v>1.6492319890818446E-3</v>
      </c>
      <c r="N195" s="174">
        <f t="shared" si="57"/>
        <v>2.1371132728243987E-2</v>
      </c>
      <c r="O195" s="173">
        <f t="shared" si="58"/>
        <v>0</v>
      </c>
      <c r="P195" s="173">
        <f t="shared" si="59"/>
        <v>0</v>
      </c>
      <c r="Q195" s="173">
        <v>0</v>
      </c>
      <c r="R195" s="174">
        <f t="shared" si="60"/>
        <v>2.1371132728243987E-2</v>
      </c>
    </row>
    <row r="196" spans="1:18" x14ac:dyDescent="0.25">
      <c r="A196" s="131">
        <v>9</v>
      </c>
      <c r="B196" s="166">
        <f t="shared" si="54"/>
        <v>45536</v>
      </c>
      <c r="C196" s="186">
        <f t="shared" si="71"/>
        <v>45568</v>
      </c>
      <c r="D196" s="186">
        <f t="shared" si="71"/>
        <v>45589</v>
      </c>
      <c r="E196" s="52" t="s">
        <v>58</v>
      </c>
      <c r="F196" s="131">
        <v>9</v>
      </c>
      <c r="G196" s="168">
        <v>43</v>
      </c>
      <c r="H196" s="169">
        <f t="shared" si="72"/>
        <v>9.2845976559737667E-5</v>
      </c>
      <c r="I196" s="169">
        <f t="shared" si="70"/>
        <v>4.7954991262174045E-4</v>
      </c>
      <c r="J196" s="170">
        <f t="shared" si="55"/>
        <v>2.0620646242734839E-2</v>
      </c>
      <c r="K196" s="177">
        <f t="shared" si="49"/>
        <v>3.9923769920687194E-3</v>
      </c>
      <c r="L196" s="176">
        <f t="shared" si="73"/>
        <v>1.6628269250666121E-2</v>
      </c>
      <c r="M196" s="173">
        <f t="shared" si="56"/>
        <v>1.390528931970967E-3</v>
      </c>
      <c r="N196" s="174">
        <f t="shared" si="57"/>
        <v>1.8018798182637089E-2</v>
      </c>
      <c r="O196" s="173">
        <f t="shared" si="58"/>
        <v>0</v>
      </c>
      <c r="P196" s="173">
        <f t="shared" si="59"/>
        <v>0</v>
      </c>
      <c r="Q196" s="173">
        <v>0</v>
      </c>
      <c r="R196" s="174">
        <f t="shared" si="60"/>
        <v>1.8018798182637089E-2</v>
      </c>
    </row>
    <row r="197" spans="1:18" x14ac:dyDescent="0.25">
      <c r="A197" s="94">
        <v>10</v>
      </c>
      <c r="B197" s="166">
        <f t="shared" si="54"/>
        <v>45566</v>
      </c>
      <c r="C197" s="186">
        <f t="shared" si="71"/>
        <v>45601</v>
      </c>
      <c r="D197" s="186">
        <f t="shared" si="71"/>
        <v>45621</v>
      </c>
      <c r="E197" s="52" t="s">
        <v>58</v>
      </c>
      <c r="F197" s="131">
        <v>9</v>
      </c>
      <c r="G197" s="168">
        <v>37</v>
      </c>
      <c r="H197" s="169">
        <f t="shared" si="72"/>
        <v>9.2845976559737667E-5</v>
      </c>
      <c r="I197" s="169">
        <f t="shared" si="70"/>
        <v>4.7954991262174045E-4</v>
      </c>
      <c r="J197" s="170">
        <f t="shared" si="55"/>
        <v>1.7743346767004398E-2</v>
      </c>
      <c r="K197" s="177">
        <f t="shared" si="49"/>
        <v>3.4353011327102937E-3</v>
      </c>
      <c r="L197" s="176">
        <f t="shared" si="73"/>
        <v>1.4308045634294103E-2</v>
      </c>
      <c r="M197" s="173">
        <f t="shared" si="56"/>
        <v>1.1965016391378089E-3</v>
      </c>
      <c r="N197" s="174">
        <f t="shared" si="57"/>
        <v>1.5504547273431913E-2</v>
      </c>
      <c r="O197" s="173">
        <f t="shared" si="58"/>
        <v>0</v>
      </c>
      <c r="P197" s="173">
        <f t="shared" si="59"/>
        <v>0</v>
      </c>
      <c r="Q197" s="173">
        <v>0</v>
      </c>
      <c r="R197" s="174">
        <f t="shared" si="60"/>
        <v>1.5504547273431913E-2</v>
      </c>
    </row>
    <row r="198" spans="1:18" x14ac:dyDescent="0.25">
      <c r="A198" s="131">
        <v>11</v>
      </c>
      <c r="B198" s="166">
        <f t="shared" si="54"/>
        <v>45597</v>
      </c>
      <c r="C198" s="186">
        <f t="shared" si="71"/>
        <v>45630</v>
      </c>
      <c r="D198" s="186">
        <f t="shared" si="71"/>
        <v>45650</v>
      </c>
      <c r="E198" s="52" t="s">
        <v>58</v>
      </c>
      <c r="F198" s="131">
        <v>9</v>
      </c>
      <c r="G198" s="168">
        <v>34</v>
      </c>
      <c r="H198" s="169">
        <f t="shared" si="72"/>
        <v>9.2845976559737667E-5</v>
      </c>
      <c r="I198" s="169">
        <f t="shared" si="70"/>
        <v>4.7954991262174045E-4</v>
      </c>
      <c r="J198" s="170">
        <f t="shared" si="55"/>
        <v>1.6304697029139177E-2</v>
      </c>
      <c r="K198" s="177">
        <f t="shared" ref="K198:K209" si="74">+$G198*H198</f>
        <v>3.1567632030310806E-3</v>
      </c>
      <c r="L198" s="176">
        <f t="shared" si="73"/>
        <v>1.3147933826108096E-2</v>
      </c>
      <c r="M198" s="173">
        <f t="shared" si="56"/>
        <v>1.0994879927212298E-3</v>
      </c>
      <c r="N198" s="174">
        <f t="shared" si="57"/>
        <v>1.4247421818829325E-2</v>
      </c>
      <c r="O198" s="173">
        <f t="shared" si="58"/>
        <v>0</v>
      </c>
      <c r="P198" s="173">
        <f t="shared" si="59"/>
        <v>0</v>
      </c>
      <c r="Q198" s="173">
        <v>0</v>
      </c>
      <c r="R198" s="174">
        <f t="shared" si="60"/>
        <v>1.4247421818829325E-2</v>
      </c>
    </row>
    <row r="199" spans="1:18" s="190" customFormat="1" x14ac:dyDescent="0.25">
      <c r="A199" s="131">
        <v>12</v>
      </c>
      <c r="B199" s="188">
        <f t="shared" si="54"/>
        <v>45627</v>
      </c>
      <c r="C199" s="186">
        <f t="shared" si="71"/>
        <v>45660</v>
      </c>
      <c r="D199" s="186">
        <f t="shared" si="71"/>
        <v>45681</v>
      </c>
      <c r="E199" s="189" t="s">
        <v>58</v>
      </c>
      <c r="F199" s="142">
        <v>9</v>
      </c>
      <c r="G199" s="168">
        <v>32</v>
      </c>
      <c r="H199" s="178">
        <f t="shared" si="72"/>
        <v>9.2845976559737667E-5</v>
      </c>
      <c r="I199" s="178">
        <f t="shared" si="70"/>
        <v>4.7954991262174045E-4</v>
      </c>
      <c r="J199" s="179">
        <f t="shared" si="55"/>
        <v>1.5345597203895694E-2</v>
      </c>
      <c r="K199" s="180">
        <f t="shared" si="74"/>
        <v>2.9710712499116053E-3</v>
      </c>
      <c r="L199" s="181">
        <f t="shared" si="73"/>
        <v>1.2374525953984089E-2</v>
      </c>
      <c r="M199" s="173">
        <f t="shared" si="56"/>
        <v>1.0348122284435104E-3</v>
      </c>
      <c r="N199" s="174">
        <f t="shared" si="57"/>
        <v>1.3409338182427599E-2</v>
      </c>
      <c r="O199" s="173">
        <f t="shared" si="58"/>
        <v>0</v>
      </c>
      <c r="P199" s="173">
        <f t="shared" si="59"/>
        <v>0</v>
      </c>
      <c r="Q199" s="173">
        <v>0</v>
      </c>
      <c r="R199" s="174">
        <f t="shared" si="60"/>
        <v>1.3409338182427599E-2</v>
      </c>
    </row>
    <row r="200" spans="1:18" x14ac:dyDescent="0.25">
      <c r="A200" s="94">
        <v>1</v>
      </c>
      <c r="B200" s="166">
        <f t="shared" si="54"/>
        <v>45292</v>
      </c>
      <c r="C200" s="183">
        <f t="shared" si="71"/>
        <v>45327</v>
      </c>
      <c r="D200" s="183">
        <f t="shared" si="71"/>
        <v>45348</v>
      </c>
      <c r="E200" s="167" t="s">
        <v>17</v>
      </c>
      <c r="F200" s="94">
        <v>9</v>
      </c>
      <c r="G200" s="168">
        <v>104</v>
      </c>
      <c r="H200" s="169">
        <f>+$K$3</f>
        <v>9.2845976559737667E-5</v>
      </c>
      <c r="I200" s="169">
        <f t="shared" si="70"/>
        <v>4.7954991262174045E-4</v>
      </c>
      <c r="J200" s="170">
        <f t="shared" si="55"/>
        <v>4.9873190912661007E-2</v>
      </c>
      <c r="K200" s="171">
        <f t="shared" si="74"/>
        <v>9.6559815622127166E-3</v>
      </c>
      <c r="L200" s="172">
        <f t="shared" si="73"/>
        <v>4.0217209350448292E-2</v>
      </c>
      <c r="M200" s="173">
        <f t="shared" si="56"/>
        <v>3.3631397424414089E-3</v>
      </c>
      <c r="N200" s="174">
        <f t="shared" si="57"/>
        <v>4.35803490928897E-2</v>
      </c>
      <c r="O200" s="173">
        <f t="shared" si="58"/>
        <v>0</v>
      </c>
      <c r="P200" s="173">
        <f t="shared" si="59"/>
        <v>0</v>
      </c>
      <c r="Q200" s="173">
        <v>0</v>
      </c>
      <c r="R200" s="174">
        <f t="shared" si="60"/>
        <v>4.35803490928897E-2</v>
      </c>
    </row>
    <row r="201" spans="1:18" x14ac:dyDescent="0.25">
      <c r="A201" s="131">
        <v>2</v>
      </c>
      <c r="B201" s="166">
        <f t="shared" si="54"/>
        <v>45323</v>
      </c>
      <c r="C201" s="186">
        <f t="shared" si="71"/>
        <v>45356</v>
      </c>
      <c r="D201" s="186">
        <f t="shared" si="71"/>
        <v>45376</v>
      </c>
      <c r="E201" s="175" t="s">
        <v>17</v>
      </c>
      <c r="F201" s="131">
        <v>9</v>
      </c>
      <c r="G201" s="168">
        <v>99</v>
      </c>
      <c r="H201" s="169">
        <f t="shared" ref="H201:H211" si="75">+$K$3</f>
        <v>9.2845976559737667E-5</v>
      </c>
      <c r="I201" s="169">
        <f t="shared" si="70"/>
        <v>4.7954991262174045E-4</v>
      </c>
      <c r="J201" s="170">
        <f t="shared" si="55"/>
        <v>4.7475441349552304E-2</v>
      </c>
      <c r="K201" s="171">
        <f t="shared" si="74"/>
        <v>9.1917516794140283E-3</v>
      </c>
      <c r="L201" s="172">
        <f t="shared" si="73"/>
        <v>3.8283689670138274E-2</v>
      </c>
      <c r="M201" s="173">
        <f t="shared" si="56"/>
        <v>3.20145033174711E-3</v>
      </c>
      <c r="N201" s="174">
        <f t="shared" si="57"/>
        <v>4.1485140001885384E-2</v>
      </c>
      <c r="O201" s="173">
        <f t="shared" si="58"/>
        <v>0</v>
      </c>
      <c r="P201" s="173">
        <f t="shared" si="59"/>
        <v>0</v>
      </c>
      <c r="Q201" s="173">
        <v>0</v>
      </c>
      <c r="R201" s="174">
        <f t="shared" si="60"/>
        <v>4.1485140001885384E-2</v>
      </c>
    </row>
    <row r="202" spans="1:18" x14ac:dyDescent="0.25">
      <c r="A202" s="131">
        <v>3</v>
      </c>
      <c r="B202" s="166">
        <f t="shared" si="54"/>
        <v>45352</v>
      </c>
      <c r="C202" s="186">
        <f t="shared" si="71"/>
        <v>45385</v>
      </c>
      <c r="D202" s="186">
        <f t="shared" si="71"/>
        <v>45406</v>
      </c>
      <c r="E202" s="175" t="s">
        <v>17</v>
      </c>
      <c r="F202" s="131">
        <v>9</v>
      </c>
      <c r="G202" s="168">
        <v>99</v>
      </c>
      <c r="H202" s="169">
        <f t="shared" si="75"/>
        <v>9.2845976559737667E-5</v>
      </c>
      <c r="I202" s="169">
        <f t="shared" si="70"/>
        <v>4.7954991262174045E-4</v>
      </c>
      <c r="J202" s="170">
        <f t="shared" si="55"/>
        <v>4.7475441349552304E-2</v>
      </c>
      <c r="K202" s="171">
        <f t="shared" si="74"/>
        <v>9.1917516794140283E-3</v>
      </c>
      <c r="L202" s="172">
        <f>+J202-K202</f>
        <v>3.8283689670138274E-2</v>
      </c>
      <c r="M202" s="173">
        <f t="shared" si="56"/>
        <v>3.20145033174711E-3</v>
      </c>
      <c r="N202" s="174">
        <f t="shared" si="57"/>
        <v>4.1485140001885384E-2</v>
      </c>
      <c r="O202" s="173">
        <f t="shared" si="58"/>
        <v>0</v>
      </c>
      <c r="P202" s="173">
        <f t="shared" si="59"/>
        <v>0</v>
      </c>
      <c r="Q202" s="173">
        <v>0</v>
      </c>
      <c r="R202" s="174">
        <f t="shared" si="60"/>
        <v>4.1485140001885384E-2</v>
      </c>
    </row>
    <row r="203" spans="1:18" x14ac:dyDescent="0.25">
      <c r="A203" s="94">
        <v>4</v>
      </c>
      <c r="B203" s="166">
        <f t="shared" si="54"/>
        <v>45383</v>
      </c>
      <c r="C203" s="186">
        <f t="shared" si="71"/>
        <v>45415</v>
      </c>
      <c r="D203" s="186">
        <f t="shared" si="71"/>
        <v>45436</v>
      </c>
      <c r="E203" s="175" t="s">
        <v>17</v>
      </c>
      <c r="F203" s="131">
        <v>9</v>
      </c>
      <c r="G203" s="168">
        <v>99</v>
      </c>
      <c r="H203" s="169">
        <f t="shared" si="75"/>
        <v>9.2845976559737667E-5</v>
      </c>
      <c r="I203" s="169">
        <f t="shared" si="70"/>
        <v>4.7954991262174045E-4</v>
      </c>
      <c r="J203" s="170">
        <f t="shared" si="55"/>
        <v>4.7475441349552304E-2</v>
      </c>
      <c r="K203" s="171">
        <f t="shared" si="74"/>
        <v>9.1917516794140283E-3</v>
      </c>
      <c r="L203" s="172">
        <f t="shared" ref="L203:L211" si="76">+J203-K203</f>
        <v>3.8283689670138274E-2</v>
      </c>
      <c r="M203" s="173">
        <f t="shared" si="56"/>
        <v>3.20145033174711E-3</v>
      </c>
      <c r="N203" s="174">
        <f t="shared" si="57"/>
        <v>4.1485140001885384E-2</v>
      </c>
      <c r="O203" s="173">
        <f t="shared" si="58"/>
        <v>0</v>
      </c>
      <c r="P203" s="173">
        <f t="shared" si="59"/>
        <v>0</v>
      </c>
      <c r="Q203" s="173">
        <v>0</v>
      </c>
      <c r="R203" s="174">
        <f t="shared" si="60"/>
        <v>4.1485140001885384E-2</v>
      </c>
    </row>
    <row r="204" spans="1:18" x14ac:dyDescent="0.25">
      <c r="A204" s="131">
        <v>5</v>
      </c>
      <c r="B204" s="166">
        <f t="shared" si="54"/>
        <v>45413</v>
      </c>
      <c r="C204" s="186">
        <f t="shared" si="71"/>
        <v>45448</v>
      </c>
      <c r="D204" s="186">
        <f t="shared" si="71"/>
        <v>45467</v>
      </c>
      <c r="E204" s="52" t="s">
        <v>17</v>
      </c>
      <c r="F204" s="131">
        <v>9</v>
      </c>
      <c r="G204" s="168">
        <v>106</v>
      </c>
      <c r="H204" s="169">
        <f t="shared" si="75"/>
        <v>9.2845976559737667E-5</v>
      </c>
      <c r="I204" s="169">
        <f t="shared" si="70"/>
        <v>4.7954991262174045E-4</v>
      </c>
      <c r="J204" s="170">
        <f t="shared" si="55"/>
        <v>5.083229073790449E-2</v>
      </c>
      <c r="K204" s="171">
        <f t="shared" si="74"/>
        <v>9.8416735153321923E-3</v>
      </c>
      <c r="L204" s="172">
        <f t="shared" si="76"/>
        <v>4.0990617222572301E-2</v>
      </c>
      <c r="M204" s="173">
        <f t="shared" si="56"/>
        <v>3.4278155067191283E-3</v>
      </c>
      <c r="N204" s="174">
        <f t="shared" si="57"/>
        <v>4.4418432729291427E-2</v>
      </c>
      <c r="O204" s="173">
        <f t="shared" si="58"/>
        <v>0</v>
      </c>
      <c r="P204" s="173">
        <f t="shared" si="59"/>
        <v>0</v>
      </c>
      <c r="Q204" s="173">
        <v>0</v>
      </c>
      <c r="R204" s="174">
        <f t="shared" si="60"/>
        <v>4.4418432729291427E-2</v>
      </c>
    </row>
    <row r="205" spans="1:18" x14ac:dyDescent="0.25">
      <c r="A205" s="131">
        <v>6</v>
      </c>
      <c r="B205" s="166">
        <f t="shared" si="54"/>
        <v>45444</v>
      </c>
      <c r="C205" s="186">
        <f t="shared" si="71"/>
        <v>45476</v>
      </c>
      <c r="D205" s="186">
        <f t="shared" si="71"/>
        <v>45497</v>
      </c>
      <c r="E205" s="52" t="s">
        <v>17</v>
      </c>
      <c r="F205" s="131">
        <v>9</v>
      </c>
      <c r="G205" s="168">
        <v>120</v>
      </c>
      <c r="H205" s="169">
        <f t="shared" si="75"/>
        <v>9.2845976559737667E-5</v>
      </c>
      <c r="I205" s="169">
        <f t="shared" si="70"/>
        <v>4.7954991262174045E-4</v>
      </c>
      <c r="J205" s="170">
        <f t="shared" si="55"/>
        <v>5.7545989514608854E-2</v>
      </c>
      <c r="K205" s="171">
        <f t="shared" si="74"/>
        <v>1.114151718716852E-2</v>
      </c>
      <c r="L205" s="176">
        <f t="shared" si="76"/>
        <v>4.6404472327440334E-2</v>
      </c>
      <c r="M205" s="173">
        <f t="shared" si="56"/>
        <v>3.880545856663164E-3</v>
      </c>
      <c r="N205" s="174">
        <f t="shared" si="57"/>
        <v>5.0285018184103497E-2</v>
      </c>
      <c r="O205" s="173">
        <f t="shared" si="58"/>
        <v>0</v>
      </c>
      <c r="P205" s="173">
        <f t="shared" si="59"/>
        <v>0</v>
      </c>
      <c r="Q205" s="173">
        <v>0</v>
      </c>
      <c r="R205" s="174">
        <f t="shared" si="60"/>
        <v>5.0285018184103497E-2</v>
      </c>
    </row>
    <row r="206" spans="1:18" x14ac:dyDescent="0.25">
      <c r="A206" s="94">
        <v>7</v>
      </c>
      <c r="B206" s="166">
        <f t="shared" si="54"/>
        <v>45474</v>
      </c>
      <c r="C206" s="186">
        <f t="shared" si="71"/>
        <v>45509</v>
      </c>
      <c r="D206" s="186">
        <f t="shared" si="71"/>
        <v>45530</v>
      </c>
      <c r="E206" s="52" t="s">
        <v>17</v>
      </c>
      <c r="F206" s="131">
        <v>9</v>
      </c>
      <c r="G206" s="168">
        <v>117</v>
      </c>
      <c r="H206" s="169">
        <f t="shared" si="75"/>
        <v>9.2845976559737667E-5</v>
      </c>
      <c r="I206" s="169">
        <f t="shared" si="70"/>
        <v>4.7954991262174045E-4</v>
      </c>
      <c r="J206" s="170">
        <f t="shared" si="55"/>
        <v>5.6107339776743634E-2</v>
      </c>
      <c r="K206" s="177">
        <f t="shared" si="74"/>
        <v>1.0862979257489308E-2</v>
      </c>
      <c r="L206" s="176">
        <f t="shared" si="76"/>
        <v>4.5244360519254324E-2</v>
      </c>
      <c r="M206" s="173">
        <f t="shared" si="56"/>
        <v>3.7835322102465849E-3</v>
      </c>
      <c r="N206" s="174">
        <f t="shared" si="57"/>
        <v>4.9027892729500908E-2</v>
      </c>
      <c r="O206" s="173">
        <f t="shared" si="58"/>
        <v>0</v>
      </c>
      <c r="P206" s="173">
        <f t="shared" si="59"/>
        <v>0</v>
      </c>
      <c r="Q206" s="173">
        <v>0</v>
      </c>
      <c r="R206" s="174">
        <f t="shared" si="60"/>
        <v>4.9027892729500908E-2</v>
      </c>
    </row>
    <row r="207" spans="1:18" x14ac:dyDescent="0.25">
      <c r="A207" s="131">
        <v>8</v>
      </c>
      <c r="B207" s="166">
        <f t="shared" si="54"/>
        <v>45505</v>
      </c>
      <c r="C207" s="186">
        <f t="shared" si="71"/>
        <v>45539</v>
      </c>
      <c r="D207" s="186">
        <f t="shared" si="71"/>
        <v>45559</v>
      </c>
      <c r="E207" s="52" t="s">
        <v>17</v>
      </c>
      <c r="F207" s="131">
        <v>9</v>
      </c>
      <c r="G207" s="168">
        <v>118</v>
      </c>
      <c r="H207" s="169">
        <f t="shared" si="75"/>
        <v>9.2845976559737667E-5</v>
      </c>
      <c r="I207" s="169">
        <f t="shared" si="70"/>
        <v>4.7954991262174045E-4</v>
      </c>
      <c r="J207" s="170">
        <f t="shared" si="55"/>
        <v>5.6586889689365372E-2</v>
      </c>
      <c r="K207" s="177">
        <f t="shared" si="74"/>
        <v>1.0955825234049045E-2</v>
      </c>
      <c r="L207" s="176">
        <f t="shared" si="76"/>
        <v>4.5631064455316325E-2</v>
      </c>
      <c r="M207" s="173">
        <f t="shared" si="56"/>
        <v>3.8158700923854446E-3</v>
      </c>
      <c r="N207" s="174">
        <f t="shared" si="57"/>
        <v>4.9446934547701771E-2</v>
      </c>
      <c r="O207" s="173">
        <f t="shared" si="58"/>
        <v>0</v>
      </c>
      <c r="P207" s="173">
        <f t="shared" si="59"/>
        <v>0</v>
      </c>
      <c r="Q207" s="173">
        <v>0</v>
      </c>
      <c r="R207" s="174">
        <f t="shared" si="60"/>
        <v>4.9446934547701771E-2</v>
      </c>
    </row>
    <row r="208" spans="1:18" x14ac:dyDescent="0.25">
      <c r="A208" s="131">
        <v>9</v>
      </c>
      <c r="B208" s="166">
        <f t="shared" si="54"/>
        <v>45536</v>
      </c>
      <c r="C208" s="186">
        <f t="shared" si="71"/>
        <v>45568</v>
      </c>
      <c r="D208" s="186">
        <f t="shared" si="71"/>
        <v>45589</v>
      </c>
      <c r="E208" s="52" t="s">
        <v>17</v>
      </c>
      <c r="F208" s="131">
        <v>9</v>
      </c>
      <c r="G208" s="168">
        <v>117</v>
      </c>
      <c r="H208" s="169">
        <f t="shared" si="75"/>
        <v>9.2845976559737667E-5</v>
      </c>
      <c r="I208" s="169">
        <f t="shared" si="70"/>
        <v>4.7954991262174045E-4</v>
      </c>
      <c r="J208" s="170">
        <f t="shared" si="55"/>
        <v>5.6107339776743634E-2</v>
      </c>
      <c r="K208" s="177">
        <f t="shared" si="74"/>
        <v>1.0862979257489308E-2</v>
      </c>
      <c r="L208" s="176">
        <f t="shared" si="76"/>
        <v>4.5244360519254324E-2</v>
      </c>
      <c r="M208" s="173">
        <f t="shared" si="56"/>
        <v>3.7835322102465849E-3</v>
      </c>
      <c r="N208" s="174">
        <f t="shared" si="57"/>
        <v>4.9027892729500908E-2</v>
      </c>
      <c r="O208" s="173">
        <f t="shared" si="58"/>
        <v>0</v>
      </c>
      <c r="P208" s="173">
        <f t="shared" si="59"/>
        <v>0</v>
      </c>
      <c r="Q208" s="173">
        <v>0</v>
      </c>
      <c r="R208" s="174">
        <f t="shared" si="60"/>
        <v>4.9027892729500908E-2</v>
      </c>
    </row>
    <row r="209" spans="1:18" x14ac:dyDescent="0.25">
      <c r="A209" s="94">
        <v>10</v>
      </c>
      <c r="B209" s="166">
        <f t="shared" si="54"/>
        <v>45566</v>
      </c>
      <c r="C209" s="186">
        <f t="shared" si="71"/>
        <v>45601</v>
      </c>
      <c r="D209" s="186">
        <f t="shared" si="71"/>
        <v>45621</v>
      </c>
      <c r="E209" s="52" t="s">
        <v>17</v>
      </c>
      <c r="F209" s="131">
        <v>9</v>
      </c>
      <c r="G209" s="168">
        <v>107</v>
      </c>
      <c r="H209" s="169">
        <f t="shared" si="75"/>
        <v>9.2845976559737667E-5</v>
      </c>
      <c r="I209" s="169">
        <f t="shared" si="70"/>
        <v>4.7954991262174045E-4</v>
      </c>
      <c r="J209" s="170">
        <f t="shared" si="55"/>
        <v>5.1311840650526228E-2</v>
      </c>
      <c r="K209" s="177">
        <f t="shared" si="74"/>
        <v>9.934519491891931E-3</v>
      </c>
      <c r="L209" s="176">
        <f t="shared" si="76"/>
        <v>4.1377321158634295E-2</v>
      </c>
      <c r="M209" s="173">
        <f t="shared" si="56"/>
        <v>3.4601533888579876E-3</v>
      </c>
      <c r="N209" s="174">
        <f t="shared" si="57"/>
        <v>4.4837474547492283E-2</v>
      </c>
      <c r="O209" s="173">
        <f t="shared" si="58"/>
        <v>0</v>
      </c>
      <c r="P209" s="173">
        <f t="shared" si="59"/>
        <v>0</v>
      </c>
      <c r="Q209" s="173">
        <v>0</v>
      </c>
      <c r="R209" s="174">
        <f t="shared" si="60"/>
        <v>4.4837474547492283E-2</v>
      </c>
    </row>
    <row r="210" spans="1:18" x14ac:dyDescent="0.25">
      <c r="A210" s="131">
        <v>11</v>
      </c>
      <c r="B210" s="166">
        <f t="shared" si="54"/>
        <v>45597</v>
      </c>
      <c r="C210" s="186">
        <f t="shared" si="71"/>
        <v>45630</v>
      </c>
      <c r="D210" s="186">
        <f t="shared" si="71"/>
        <v>45650</v>
      </c>
      <c r="E210" s="52" t="s">
        <v>17</v>
      </c>
      <c r="F210" s="131">
        <v>9</v>
      </c>
      <c r="G210" s="168">
        <v>91</v>
      </c>
      <c r="H210" s="169">
        <f t="shared" si="75"/>
        <v>9.2845976559737667E-5</v>
      </c>
      <c r="I210" s="169">
        <f t="shared" si="70"/>
        <v>4.7954991262174045E-4</v>
      </c>
      <c r="J210" s="170">
        <f t="shared" si="55"/>
        <v>4.363904204857838E-2</v>
      </c>
      <c r="K210" s="177">
        <f>+$G210*H210</f>
        <v>8.4489838669361272E-3</v>
      </c>
      <c r="L210" s="176">
        <f t="shared" si="76"/>
        <v>3.5190058181642253E-2</v>
      </c>
      <c r="M210" s="173">
        <f t="shared" si="56"/>
        <v>2.9427472746362329E-3</v>
      </c>
      <c r="N210" s="174">
        <f t="shared" si="57"/>
        <v>3.8132805456278486E-2</v>
      </c>
      <c r="O210" s="173">
        <f t="shared" si="58"/>
        <v>0</v>
      </c>
      <c r="P210" s="173">
        <f t="shared" si="59"/>
        <v>0</v>
      </c>
      <c r="Q210" s="173">
        <v>0</v>
      </c>
      <c r="R210" s="174">
        <f t="shared" si="60"/>
        <v>3.8132805456278486E-2</v>
      </c>
    </row>
    <row r="211" spans="1:18" s="190" customFormat="1" x14ac:dyDescent="0.25">
      <c r="A211" s="131">
        <v>12</v>
      </c>
      <c r="B211" s="188">
        <f t="shared" si="54"/>
        <v>45627</v>
      </c>
      <c r="C211" s="191">
        <f t="shared" si="71"/>
        <v>45660</v>
      </c>
      <c r="D211" s="191">
        <f t="shared" si="71"/>
        <v>45681</v>
      </c>
      <c r="E211" s="189" t="s">
        <v>17</v>
      </c>
      <c r="F211" s="142">
        <v>9</v>
      </c>
      <c r="G211" s="168">
        <v>102</v>
      </c>
      <c r="H211" s="178">
        <f t="shared" si="75"/>
        <v>9.2845976559737667E-5</v>
      </c>
      <c r="I211" s="178">
        <f t="shared" si="70"/>
        <v>4.7954991262174045E-4</v>
      </c>
      <c r="J211" s="179">
        <f t="shared" si="55"/>
        <v>4.8914091087417524E-2</v>
      </c>
      <c r="K211" s="180">
        <f>+$G211*H211</f>
        <v>9.4702896090932426E-3</v>
      </c>
      <c r="L211" s="181">
        <f t="shared" si="76"/>
        <v>3.9443801478324284E-2</v>
      </c>
      <c r="M211" s="179">
        <f t="shared" si="56"/>
        <v>3.2984639781636891E-3</v>
      </c>
      <c r="N211" s="174">
        <f t="shared" si="57"/>
        <v>4.2742265456487974E-2</v>
      </c>
      <c r="O211" s="179">
        <f t="shared" si="58"/>
        <v>0</v>
      </c>
      <c r="P211" s="196">
        <f t="shared" si="59"/>
        <v>0</v>
      </c>
      <c r="Q211" s="173">
        <v>0</v>
      </c>
      <c r="R211" s="174">
        <f t="shared" si="60"/>
        <v>4.2742265456487974E-2</v>
      </c>
    </row>
    <row r="212" spans="1:18" x14ac:dyDescent="0.25">
      <c r="G212" s="197">
        <f>SUM(G20:G211)</f>
        <v>101851</v>
      </c>
      <c r="H212" s="49"/>
      <c r="I212" s="49"/>
      <c r="J212" s="49">
        <f>SUM(J20:J211)</f>
        <v>48.842638150436855</v>
      </c>
      <c r="K212" s="49">
        <f>SUM(K20:K211)</f>
        <v>9.4564555585858425</v>
      </c>
      <c r="L212" s="49">
        <f>SUM(L20:L211)</f>
        <v>39.386182591851046</v>
      </c>
      <c r="M212" s="49">
        <f>SUM(M20:M211)</f>
        <v>3.2936456337250024</v>
      </c>
      <c r="N212" s="49"/>
      <c r="O212" s="49"/>
      <c r="P212" s="49">
        <f>SUM(P20:P211)</f>
        <v>0</v>
      </c>
      <c r="Q212" s="49"/>
      <c r="R212" s="198">
        <f>SUM(R20:R211)</f>
        <v>42.679828225576031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7" fitToWidth="2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49C77599AAFD4B8FFD850D55630F3C" ma:contentTypeVersion="11" ma:contentTypeDescription="Create a new document." ma:contentTypeScope="" ma:versionID="ad751a9f435e1866f9f8a73a34278f13">
  <xsd:schema xmlns:xsd="http://www.w3.org/2001/XMLSchema" xmlns:xs="http://www.w3.org/2001/XMLSchema" xmlns:p="http://schemas.microsoft.com/office/2006/metadata/properties" xmlns:ns2="6a06342d-ce85-4729-8251-347f0ba4f840" xmlns:ns3="b6888f76-1100-40b0-929b-1efe9044426d" targetNamespace="http://schemas.microsoft.com/office/2006/metadata/properties" ma:root="true" ma:fieldsID="e425485e64401a05f4c6dac9240526dc" ns2:_="" ns3:_="">
    <xsd:import namespace="6a06342d-ce85-4729-8251-347f0ba4f840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6342d-ce85-4729-8251-347f0ba4f8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NTowMy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ODoyMiBQTTwvRGF0ZVRpbWU+PExhYmVsU3RyaW5nPkFFUCBJbnRlcm5hbDwvTGFiZWxTdHJpbmc+PC9pdGVtPjwvbGFiZWxIaXN0b3J5Pg==</Value>
</WrappedLabelHistory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06342d-ce85-4729-8251-347f0ba4f840">
      <Terms xmlns="http://schemas.microsoft.com/office/infopath/2007/PartnerControls"/>
    </lcf76f155ced4ddcb4097134ff3c332f>
    <TaxCatchAll xmlns="b6888f76-1100-40b0-929b-1efe9044426d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D316B61-D668-4281-8DF1-996136273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06342d-ce85-4729-8251-347f0ba4f840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FA9DFA-5C72-40DC-AE3F-0714747E2677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720AB67B-E45D-4FDB-8A9C-7AE9C58DCFFC}">
  <ds:schemaRefs>
    <ds:schemaRef ds:uri="http://schemas.microsoft.com/office/2006/metadata/properties"/>
    <ds:schemaRef ds:uri="http://schemas.microsoft.com/office/infopath/2007/PartnerControls"/>
    <ds:schemaRef ds:uri="6a06342d-ce85-4729-8251-347f0ba4f840"/>
    <ds:schemaRef ds:uri="b6888f76-1100-40b0-929b-1efe9044426d"/>
  </ds:schemaRefs>
</ds:datastoreItem>
</file>

<file path=customXml/itemProps4.xml><?xml version="1.0" encoding="utf-8"?>
<ds:datastoreItem xmlns:ds="http://schemas.openxmlformats.org/officeDocument/2006/customXml" ds:itemID="{50278D34-75EE-42C1-84EA-D786DF8EFDB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B2D4909C-220D-4E8D-9DBD-70EE851EA5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Summary</vt:lpstr>
      <vt:lpstr>Pivot</vt:lpstr>
      <vt:lpstr>Instructions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2025-05-27T14:58:56Z</cp:lastPrinted>
  <dcterms:created xsi:type="dcterms:W3CDTF">2009-09-04T18:19:13Z</dcterms:created>
  <dcterms:modified xsi:type="dcterms:W3CDTF">2025-05-27T15:03:20Z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90b7da01-4088-436e-908a-f2401c1a030d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{F6FA9DFA-5C72-40DC-AE3F-0714747E2677}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  <property fmtid="{D5CDD505-2E9C-101B-9397-08002B2CF9AE}" pid="13" name="ContentTypeId">
    <vt:lpwstr>0x0101002649C77599AAFD4B8FFD850D55630F3C</vt:lpwstr>
  </property>
  <property fmtid="{D5CDD505-2E9C-101B-9397-08002B2CF9AE}" pid="14" name="MediaServiceImageTags">
    <vt:lpwstr/>
  </property>
</Properties>
</file>