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720KSR5m3Lgu1tZeY+5J8fd+WUSoyVW+LtaseavC6BWHZz5/7iN9Zx6CMIs5et+eHOk5XKUpmT0Vxn3I2SLLg==" saltValue="dVYi1yO9VFW1IRhKW1nt4Q==" spinCount="100000"/>
  <workbookPr filterPrivacy="1" codeName="ThisWorkbook" defaultThemeVersion="124226"/>
  <xr:revisionPtr revIDLastSave="0" documentId="13_ncr:10001_{46343A28-B09C-431B-93D0-69458817D6C9}" xr6:coauthVersionLast="47" xr6:coauthVersionMax="47" xr10:uidLastSave="{00000000-0000-0000-0000-000000000000}"/>
  <bookViews>
    <workbookView xWindow="-120" yWindow="-120" windowWidth="29040" windowHeight="1572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1" r:id="rId6"/>
    <sheet name="WS-B-3-A-Remeas Suprt" sheetId="42"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Taxes'!$A$3:$M$71</definedName>
    <definedName name="_xlnm.Print_Area" localSheetId="13">'WS H-p2 Detail of Tax Amts'!$A$1:$I$116</definedName>
    <definedName name="_xlnm.Print_Area" localSheetId="14">'WS I RESERVED'!$A$3:$J$6</definedName>
    <definedName name="_xlnm.Print_Area" localSheetId="15">'WS J PROJECTED RTEP RR'!$A$1:$O$170</definedName>
    <definedName name="_xlnm.Print_Area" localSheetId="16">'WS K TRUE-UP RTEP RR'!$A$1:$P$166</definedName>
    <definedName name="_xlnm.Print_Area" localSheetId="17">'WS L RESERVED'!$A$3:$F$9</definedName>
    <definedName name="_xlnm.Print_Area" localSheetId="19">'WS N - Sale of Plant Held'!$A$3:$U$35</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Amts'!$A$3:$F$107</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0" l="1"/>
  <c r="F23" i="10"/>
  <c r="F19" i="10"/>
  <c r="H39" i="31" l="1"/>
  <c r="D16" i="40" l="1"/>
  <c r="D67" i="36" l="1"/>
  <c r="D68" i="36"/>
  <c r="D64" i="36"/>
  <c r="C65" i="36"/>
  <c r="J66" i="36"/>
  <c r="C67" i="36"/>
  <c r="C68" i="36"/>
  <c r="I64" i="36"/>
  <c r="K64" i="36"/>
  <c r="D65" i="36"/>
  <c r="I65" i="36"/>
  <c r="K65" i="36"/>
  <c r="D66" i="36"/>
  <c r="I66" i="36"/>
  <c r="K66" i="36"/>
  <c r="I67" i="36"/>
  <c r="K67" i="36"/>
  <c r="I68" i="36"/>
  <c r="K68" i="36"/>
  <c r="D41" i="36"/>
  <c r="D42" i="36"/>
  <c r="D43" i="36"/>
  <c r="D44" i="36"/>
  <c r="D45" i="36"/>
  <c r="D46" i="36"/>
  <c r="D47" i="36"/>
  <c r="D40" i="36"/>
  <c r="C41" i="36"/>
  <c r="C43" i="36"/>
  <c r="C44" i="36"/>
  <c r="J45" i="36"/>
  <c r="J46" i="36"/>
  <c r="C47" i="36"/>
  <c r="C40" i="36"/>
  <c r="I40" i="36"/>
  <c r="K40" i="36"/>
  <c r="I41" i="36"/>
  <c r="K41" i="36"/>
  <c r="I42" i="36"/>
  <c r="K42" i="36"/>
  <c r="I43" i="36"/>
  <c r="K43" i="36"/>
  <c r="I44" i="36"/>
  <c r="K44" i="36"/>
  <c r="I45" i="36"/>
  <c r="K45" i="36"/>
  <c r="I46" i="36"/>
  <c r="K46" i="36"/>
  <c r="I47" i="36"/>
  <c r="K47" i="36"/>
  <c r="C17" i="37"/>
  <c r="D17" i="37"/>
  <c r="I17" i="37"/>
  <c r="J17" i="37"/>
  <c r="K17"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C18" i="37"/>
  <c r="D18" i="37"/>
  <c r="I18" i="37"/>
  <c r="J18" i="37"/>
  <c r="K18" i="37"/>
  <c r="C19" i="37"/>
  <c r="D19" i="37"/>
  <c r="I19" i="37"/>
  <c r="J19" i="37"/>
  <c r="K19" i="37"/>
  <c r="C20" i="37"/>
  <c r="D20" i="37"/>
  <c r="I20" i="37"/>
  <c r="J20" i="37"/>
  <c r="K20" i="37"/>
  <c r="C21" i="37"/>
  <c r="D21" i="37"/>
  <c r="I21" i="37"/>
  <c r="J21" i="37"/>
  <c r="K21" i="37"/>
  <c r="C22" i="37"/>
  <c r="D22" i="37"/>
  <c r="I22" i="37"/>
  <c r="J22" i="37"/>
  <c r="K22" i="37"/>
  <c r="C23" i="37"/>
  <c r="D23" i="37"/>
  <c r="I23" i="37"/>
  <c r="J23" i="37"/>
  <c r="K23" i="37"/>
  <c r="C24" i="37"/>
  <c r="D24" i="37"/>
  <c r="I24" i="37"/>
  <c r="J24" i="37"/>
  <c r="K24" i="37"/>
  <c r="C25" i="37"/>
  <c r="D25" i="37"/>
  <c r="I25" i="37"/>
  <c r="J25" i="37"/>
  <c r="K25" i="37"/>
  <c r="C26" i="37"/>
  <c r="D26" i="37"/>
  <c r="I26" i="37"/>
  <c r="J26" i="37"/>
  <c r="K26" i="37"/>
  <c r="C27" i="37"/>
  <c r="D27" i="37"/>
  <c r="I27" i="37"/>
  <c r="J27" i="37"/>
  <c r="K27" i="37"/>
  <c r="C28" i="37"/>
  <c r="D28" i="37"/>
  <c r="I28" i="37"/>
  <c r="J28" i="37"/>
  <c r="K28" i="37"/>
  <c r="C29" i="37"/>
  <c r="D29" i="37"/>
  <c r="I29" i="37"/>
  <c r="J29" i="37"/>
  <c r="K29" i="37"/>
  <c r="C30" i="37"/>
  <c r="D30" i="37"/>
  <c r="I30" i="37"/>
  <c r="J30" i="37"/>
  <c r="K30" i="37"/>
  <c r="C31" i="37"/>
  <c r="D31" i="37"/>
  <c r="I31" i="37"/>
  <c r="J31" i="37"/>
  <c r="K31" i="37"/>
  <c r="C32" i="37"/>
  <c r="D32" i="37"/>
  <c r="I32" i="37"/>
  <c r="J32" i="37"/>
  <c r="K32" i="37"/>
  <c r="C33" i="37"/>
  <c r="D33" i="37"/>
  <c r="I33" i="37"/>
  <c r="J33" i="37"/>
  <c r="K33" i="37"/>
  <c r="C34" i="37"/>
  <c r="D34" i="37"/>
  <c r="I34" i="37"/>
  <c r="J34" i="37"/>
  <c r="K34" i="37"/>
  <c r="C35" i="37"/>
  <c r="D35" i="37"/>
  <c r="I35" i="37"/>
  <c r="J35" i="37"/>
  <c r="K35" i="37"/>
  <c r="C36" i="37"/>
  <c r="D36" i="37"/>
  <c r="I36" i="37"/>
  <c r="J36" i="37"/>
  <c r="K36" i="37"/>
  <c r="C37" i="37"/>
  <c r="D37" i="37"/>
  <c r="I37" i="37"/>
  <c r="J37" i="37"/>
  <c r="K37" i="37"/>
  <c r="C38" i="37"/>
  <c r="D38" i="37"/>
  <c r="I38" i="37"/>
  <c r="J38" i="37"/>
  <c r="K38" i="37"/>
  <c r="J40" i="37"/>
  <c r="J41" i="37"/>
  <c r="D42" i="37"/>
  <c r="J43" i="37"/>
  <c r="D44" i="37"/>
  <c r="D45" i="37"/>
  <c r="D46" i="37"/>
  <c r="J47" i="37"/>
  <c r="D48" i="37"/>
  <c r="J49" i="37"/>
  <c r="J50" i="37"/>
  <c r="J51" i="37"/>
  <c r="D52" i="37"/>
  <c r="D53" i="37"/>
  <c r="D39" i="37"/>
  <c r="C39" i="37"/>
  <c r="I39" i="37"/>
  <c r="K39" i="37"/>
  <c r="C40" i="37"/>
  <c r="I40" i="37"/>
  <c r="K40" i="37"/>
  <c r="C41" i="37"/>
  <c r="I41" i="37"/>
  <c r="K41" i="37"/>
  <c r="C42" i="37"/>
  <c r="I42" i="37"/>
  <c r="K42" i="37"/>
  <c r="C43" i="37"/>
  <c r="I43" i="37"/>
  <c r="K43" i="37"/>
  <c r="C44" i="37"/>
  <c r="I44" i="37"/>
  <c r="K44" i="37"/>
  <c r="C45" i="37"/>
  <c r="I45" i="37"/>
  <c r="K45" i="37"/>
  <c r="C46" i="37"/>
  <c r="I46" i="37"/>
  <c r="K46" i="37"/>
  <c r="C47" i="37"/>
  <c r="I47" i="37"/>
  <c r="K47" i="37"/>
  <c r="C48" i="37"/>
  <c r="I48" i="37"/>
  <c r="K48" i="37"/>
  <c r="C49" i="37"/>
  <c r="I49" i="37"/>
  <c r="K49" i="37"/>
  <c r="C50" i="37"/>
  <c r="I50" i="37"/>
  <c r="K50" i="37"/>
  <c r="C51" i="37"/>
  <c r="I51" i="37"/>
  <c r="K51" i="37"/>
  <c r="C52" i="37"/>
  <c r="I52" i="37"/>
  <c r="K52" i="37"/>
  <c r="C53" i="37"/>
  <c r="I53" i="37"/>
  <c r="K53" i="37"/>
  <c r="J64" i="36" l="1"/>
  <c r="J68" i="36"/>
  <c r="J42" i="36"/>
  <c r="J65" i="36"/>
  <c r="C66" i="36"/>
  <c r="G66" i="36" s="1"/>
  <c r="C64" i="36"/>
  <c r="G64" i="36" s="1"/>
  <c r="C45" i="36"/>
  <c r="G45" i="36" s="1"/>
  <c r="G67" i="36"/>
  <c r="J67" i="36"/>
  <c r="G68" i="36"/>
  <c r="G65" i="36"/>
  <c r="J44" i="36"/>
  <c r="J43" i="36"/>
  <c r="G41" i="36"/>
  <c r="C42" i="36"/>
  <c r="G42" i="36" s="1"/>
  <c r="G43" i="36"/>
  <c r="C46" i="36"/>
  <c r="G46" i="36" s="1"/>
  <c r="J41" i="36"/>
  <c r="G47" i="36"/>
  <c r="J47" i="36"/>
  <c r="G40" i="36"/>
  <c r="G44" i="36"/>
  <c r="J40" i="36"/>
  <c r="G17" i="37"/>
  <c r="G38" i="37"/>
  <c r="G29" i="37"/>
  <c r="G25" i="37"/>
  <c r="G34" i="37"/>
  <c r="G32" i="37"/>
  <c r="G21" i="37"/>
  <c r="G33" i="37"/>
  <c r="G37" i="37"/>
  <c r="G26" i="37"/>
  <c r="G18" i="37"/>
  <c r="G35" i="37"/>
  <c r="G24" i="37"/>
  <c r="G30" i="37"/>
  <c r="G27" i="37"/>
  <c r="G22" i="37"/>
  <c r="G19" i="37"/>
  <c r="G36" i="37"/>
  <c r="G31" i="37"/>
  <c r="G28" i="37"/>
  <c r="G23" i="37"/>
  <c r="G20" i="37"/>
  <c r="D41" i="37"/>
  <c r="G41" i="37" s="1"/>
  <c r="D43" i="37"/>
  <c r="G43" i="37" s="1"/>
  <c r="D50" i="37"/>
  <c r="G50" i="37" s="1"/>
  <c r="D47" i="37"/>
  <c r="G47" i="37" s="1"/>
  <c r="J44" i="37"/>
  <c r="D49" i="37"/>
  <c r="G49" i="37" s="1"/>
  <c r="J42" i="37"/>
  <c r="D51" i="37"/>
  <c r="G51" i="37" s="1"/>
  <c r="J52" i="37"/>
  <c r="D40" i="37"/>
  <c r="G40" i="37" s="1"/>
  <c r="J53" i="37"/>
  <c r="J45" i="37"/>
  <c r="G44" i="37"/>
  <c r="G53" i="37"/>
  <c r="J48" i="37"/>
  <c r="J46" i="37"/>
  <c r="G45" i="37"/>
  <c r="G48" i="37"/>
  <c r="G46" i="37"/>
  <c r="G52" i="37"/>
  <c r="J39" i="37"/>
  <c r="G42" i="37"/>
  <c r="G39" i="37"/>
  <c r="F15" i="10" l="1"/>
  <c r="F11" i="10" l="1"/>
  <c r="F29" i="10" s="1"/>
  <c r="C39" i="35" l="1"/>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C54" i="37" l="1"/>
  <c r="E55" i="37" s="1"/>
  <c r="C55" i="37" s="1"/>
  <c r="E89" i="31" l="1"/>
  <c r="C82" i="36" l="1"/>
  <c r="D82" i="36"/>
  <c r="M20" i="13" l="1"/>
  <c r="G217" i="2" l="1"/>
  <c r="E68" i="9"/>
  <c r="E69" i="9"/>
  <c r="F70" i="9"/>
  <c r="A69" i="9"/>
  <c r="A70" i="9" s="1"/>
  <c r="E67" i="9"/>
  <c r="E49" i="9"/>
  <c r="E50" i="9"/>
  <c r="E51" i="9"/>
  <c r="E52" i="9"/>
  <c r="E48" i="9"/>
  <c r="E37" i="9"/>
  <c r="F39" i="9"/>
  <c r="F44" i="9" s="1"/>
  <c r="G143" i="2" s="1"/>
  <c r="E36" i="9"/>
  <c r="I40" i="6"/>
  <c r="K40" i="6" s="1"/>
  <c r="E40" i="6" s="1"/>
  <c r="I39" i="6"/>
  <c r="K39" i="6" s="1"/>
  <c r="E39" i="6" s="1"/>
  <c r="D73" i="36"/>
  <c r="D72" i="36"/>
  <c r="D52" i="36"/>
  <c r="D51" i="36"/>
  <c r="D58" i="37"/>
  <c r="D57" i="37"/>
  <c r="D56" i="37"/>
  <c r="J21" i="8"/>
  <c r="C58" i="37"/>
  <c r="C57" i="37"/>
  <c r="C56" i="37"/>
  <c r="C52" i="36"/>
  <c r="C51" i="36"/>
  <c r="C73" i="36"/>
  <c r="C72" i="36"/>
  <c r="D18" i="40"/>
  <c r="R55" i="36"/>
  <c r="F23" i="42"/>
  <c r="D21" i="42"/>
  <c r="L17" i="42"/>
  <c r="O17" i="42" s="1"/>
  <c r="H17" i="42"/>
  <c r="J15" i="42"/>
  <c r="J21" i="42" s="1"/>
  <c r="L21" i="42" s="1"/>
  <c r="D15" i="42"/>
  <c r="H15" i="42" s="1"/>
  <c r="A14" i="42"/>
  <c r="A15" i="42" s="1"/>
  <c r="A17" i="42" s="1"/>
  <c r="A19" i="42" s="1"/>
  <c r="A20" i="42" s="1"/>
  <c r="A21" i="42" s="1"/>
  <c r="A23" i="42" s="1"/>
  <c r="D30" i="40"/>
  <c r="D23" i="40"/>
  <c r="E84" i="31"/>
  <c r="E37" i="11" s="1"/>
  <c r="K37" i="11" s="1"/>
  <c r="I40" i="31"/>
  <c r="E37" i="31"/>
  <c r="E22" i="11" s="1"/>
  <c r="G22" i="11" s="1"/>
  <c r="I41" i="31"/>
  <c r="I42" i="31"/>
  <c r="L43" i="2"/>
  <c r="K54" i="37"/>
  <c r="I54" i="37"/>
  <c r="K69" i="36"/>
  <c r="I69" i="36"/>
  <c r="C69" i="36"/>
  <c r="E70" i="36" s="1"/>
  <c r="K48" i="36"/>
  <c r="I48" i="36"/>
  <c r="C48" i="36"/>
  <c r="O55" i="36"/>
  <c r="N55" i="36"/>
  <c r="M55" i="36"/>
  <c r="D43" i="32"/>
  <c r="C43" i="32"/>
  <c r="H38" i="31"/>
  <c r="H31" i="31"/>
  <c r="I31" i="31" s="1"/>
  <c r="C34" i="36"/>
  <c r="D34" i="36"/>
  <c r="I34" i="36"/>
  <c r="J34" i="36"/>
  <c r="K34" i="36"/>
  <c r="I67" i="6"/>
  <c r="K67" i="6" s="1"/>
  <c r="E67" i="6" s="1"/>
  <c r="I66" i="6"/>
  <c r="K66" i="6" s="1"/>
  <c r="E66" i="6" s="1"/>
  <c r="I65" i="6"/>
  <c r="I64" i="6"/>
  <c r="K64" i="6" s="1"/>
  <c r="E64" i="6" s="1"/>
  <c r="I63" i="6"/>
  <c r="K63" i="6" s="1"/>
  <c r="E63" i="6" s="1"/>
  <c r="E42" i="5"/>
  <c r="G42" i="5"/>
  <c r="E34" i="5"/>
  <c r="G34" i="5"/>
  <c r="E26" i="5"/>
  <c r="G26" i="5"/>
  <c r="E18" i="5"/>
  <c r="G18" i="5"/>
  <c r="O27" i="41"/>
  <c r="N27" i="41"/>
  <c r="L27" i="41"/>
  <c r="K27" i="41"/>
  <c r="B27" i="41"/>
  <c r="P24" i="41"/>
  <c r="M27" i="41"/>
  <c r="P23" i="41"/>
  <c r="P19" i="41"/>
  <c r="Q18" i="41"/>
  <c r="P17" i="41"/>
  <c r="P16" i="41"/>
  <c r="Q15" i="41"/>
  <c r="Q14" i="41"/>
  <c r="P13" i="41"/>
  <c r="E44" i="32"/>
  <c r="E42" i="32"/>
  <c r="E41" i="32"/>
  <c r="F64" i="9"/>
  <c r="G144" i="2"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C74" i="36"/>
  <c r="D74" i="36"/>
  <c r="C75" i="36"/>
  <c r="D75" i="36"/>
  <c r="D71" i="36"/>
  <c r="C71" i="36"/>
  <c r="C59" i="37"/>
  <c r="D59" i="37"/>
  <c r="C60" i="37"/>
  <c r="D60" i="37"/>
  <c r="C61" i="37"/>
  <c r="D61" i="37"/>
  <c r="K62" i="37"/>
  <c r="J62" i="37"/>
  <c r="I62" i="37"/>
  <c r="D62" i="37"/>
  <c r="C62" i="37"/>
  <c r="D50" i="36"/>
  <c r="C50" i="36"/>
  <c r="G141" i="2"/>
  <c r="G130" i="2"/>
  <c r="N26" i="20"/>
  <c r="M26" i="20"/>
  <c r="G21" i="35"/>
  <c r="J254" i="2"/>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I77"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 i="38"/>
  <c r="E43" i="31"/>
  <c r="E23" i="11" s="1"/>
  <c r="G23" i="11" s="1"/>
  <c r="I44" i="31"/>
  <c r="I43" i="31" s="1"/>
  <c r="I36" i="31"/>
  <c r="I35" i="31"/>
  <c r="I34" i="31"/>
  <c r="I33" i="31"/>
  <c r="I32" i="31"/>
  <c r="I25" i="31"/>
  <c r="I26" i="31"/>
  <c r="I27" i="31"/>
  <c r="I28" i="31"/>
  <c r="I29" i="31"/>
  <c r="I24" i="31"/>
  <c r="D43" i="5"/>
  <c r="D42" i="5"/>
  <c r="D27" i="5"/>
  <c r="D19" i="5"/>
  <c r="B1" i="37"/>
  <c r="B1" i="36"/>
  <c r="S64" i="37"/>
  <c r="Q64" i="37"/>
  <c r="O64" i="37"/>
  <c r="N64" i="37"/>
  <c r="M64" i="37"/>
  <c r="S98" i="36"/>
  <c r="R98" i="36"/>
  <c r="E52" i="5" s="1"/>
  <c r="Q98" i="36"/>
  <c r="O98" i="36"/>
  <c r="N98" i="36"/>
  <c r="G52" i="5" s="1"/>
  <c r="M98" i="36"/>
  <c r="F98" i="36"/>
  <c r="E98" i="36"/>
  <c r="K96" i="36"/>
  <c r="J96" i="36"/>
  <c r="I96" i="36"/>
  <c r="D96" i="36"/>
  <c r="C96" i="36"/>
  <c r="K95" i="36"/>
  <c r="J95" i="36"/>
  <c r="I95" i="36"/>
  <c r="D95" i="36"/>
  <c r="C95" i="36"/>
  <c r="K81" i="36"/>
  <c r="J81" i="36"/>
  <c r="I81" i="36"/>
  <c r="D81" i="36"/>
  <c r="C81" i="36"/>
  <c r="A81" i="36"/>
  <c r="A82" i="36" s="1"/>
  <c r="S78" i="36"/>
  <c r="S84" i="36" s="1"/>
  <c r="Q78" i="36"/>
  <c r="Q84" i="36" s="1"/>
  <c r="O78" i="36"/>
  <c r="O84" i="36" s="1"/>
  <c r="N78" i="36"/>
  <c r="N84" i="36" s="1"/>
  <c r="M78" i="36"/>
  <c r="M84" i="36" s="1"/>
  <c r="K63" i="36"/>
  <c r="J63" i="36"/>
  <c r="I63" i="36"/>
  <c r="D63" i="36"/>
  <c r="C63" i="36"/>
  <c r="K62" i="36"/>
  <c r="J62" i="36"/>
  <c r="I62" i="36"/>
  <c r="D62" i="36"/>
  <c r="C62" i="36"/>
  <c r="K61" i="36"/>
  <c r="J61" i="36"/>
  <c r="I61" i="36"/>
  <c r="D61" i="36"/>
  <c r="C61" i="36"/>
  <c r="A61" i="36"/>
  <c r="A62" i="36" s="1"/>
  <c r="A63" i="36" s="1"/>
  <c r="K60" i="36"/>
  <c r="J60" i="36"/>
  <c r="I60" i="36"/>
  <c r="D60" i="36"/>
  <c r="C60" i="36"/>
  <c r="A56" i="36"/>
  <c r="D26" i="5" s="1"/>
  <c r="S55" i="36"/>
  <c r="Q55"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F71" i="9"/>
  <c r="G10" i="5"/>
  <c r="E10" i="5"/>
  <c r="O8" i="13"/>
  <c r="C9" i="7"/>
  <c r="D12" i="9"/>
  <c r="E69" i="6"/>
  <c r="I74" i="6"/>
  <c r="K74" i="6" s="1"/>
  <c r="J76" i="6"/>
  <c r="K76" i="6" s="1"/>
  <c r="E76" i="6" s="1"/>
  <c r="J51" i="6"/>
  <c r="K51" i="6" s="1"/>
  <c r="E51" i="6" s="1"/>
  <c r="J53" i="6"/>
  <c r="K53" i="6" s="1"/>
  <c r="E53" i="6" s="1"/>
  <c r="I50" i="6"/>
  <c r="K50" i="6" s="1"/>
  <c r="E50" i="6" s="1"/>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E38" i="11"/>
  <c r="K38" i="11" s="1"/>
  <c r="D298"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60" i="2" s="1"/>
  <c r="C112" i="34"/>
  <c r="J24" i="34"/>
  <c r="K72" i="6"/>
  <c r="E198" i="34"/>
  <c r="E186" i="34"/>
  <c r="G79" i="6"/>
  <c r="G30" i="6" s="1"/>
  <c r="H214" i="2"/>
  <c r="K71" i="6"/>
  <c r="K70" i="6"/>
  <c r="E70" i="6" s="1"/>
  <c r="K69" i="6"/>
  <c r="K68" i="6"/>
  <c r="E68" i="6"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61" i="11" s="1"/>
  <c r="E63" i="11" s="1"/>
  <c r="E65" i="11" s="1"/>
  <c r="I51" i="11"/>
  <c r="I53" i="11" s="1"/>
  <c r="I55" i="11" s="1"/>
  <c r="E66" i="11"/>
  <c r="E56" i="11"/>
  <c r="I66" i="11"/>
  <c r="I56" i="11"/>
  <c r="C50" i="11"/>
  <c r="M41" i="11"/>
  <c r="L214" i="2"/>
  <c r="L216" i="2"/>
  <c r="C31" i="34"/>
  <c r="C32" i="34" s="1"/>
  <c r="C37" i="34"/>
  <c r="C38" i="34" s="1"/>
  <c r="C43" i="34"/>
  <c r="C44" i="34" s="1"/>
  <c r="C49" i="34"/>
  <c r="E31" i="34"/>
  <c r="E32" i="34" s="1"/>
  <c r="E37" i="34"/>
  <c r="E38" i="34" s="1"/>
  <c r="E43" i="34"/>
  <c r="E44" i="34" s="1"/>
  <c r="E49" i="34"/>
  <c r="E50" i="34" s="1"/>
  <c r="F31" i="34"/>
  <c r="F32" i="34" s="1"/>
  <c r="F37" i="34"/>
  <c r="F43" i="34"/>
  <c r="F44" i="34" s="1"/>
  <c r="F49" i="34"/>
  <c r="F50" i="34" s="1"/>
  <c r="G31" i="34"/>
  <c r="G32" i="34" s="1"/>
  <c r="G37" i="34"/>
  <c r="G38" i="34" s="1"/>
  <c r="G43" i="34"/>
  <c r="G49" i="34"/>
  <c r="H31" i="34"/>
  <c r="H32" i="34" s="1"/>
  <c r="H37" i="34"/>
  <c r="H38" i="34" s="1"/>
  <c r="H43" i="34"/>
  <c r="H44" i="34" s="1"/>
  <c r="H49" i="34"/>
  <c r="I31" i="34"/>
  <c r="I32" i="34" s="1"/>
  <c r="I37" i="34"/>
  <c r="I38" i="34" s="1"/>
  <c r="I43" i="34"/>
  <c r="I44" i="34" s="1"/>
  <c r="I49" i="34"/>
  <c r="I50" i="34" s="1"/>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F217" i="2"/>
  <c r="G55" i="6"/>
  <c r="G29" i="6" s="1"/>
  <c r="C21" i="7"/>
  <c r="C23" i="7" s="1"/>
  <c r="G110" i="2" s="1"/>
  <c r="L110" i="2" s="1"/>
  <c r="O17" i="21"/>
  <c r="O22" i="21"/>
  <c r="O27" i="21"/>
  <c r="E53" i="31"/>
  <c r="E26" i="11" s="1"/>
  <c r="E55" i="31"/>
  <c r="E27" i="11" s="1"/>
  <c r="I27" i="11" s="1"/>
  <c r="E57" i="31"/>
  <c r="E28" i="11" s="1"/>
  <c r="I28" i="11" s="1"/>
  <c r="E23" i="31"/>
  <c r="E20" i="11" s="1"/>
  <c r="G20" i="11" s="1"/>
  <c r="E30" i="31"/>
  <c r="E21" i="11" s="1"/>
  <c r="G21" i="11" s="1"/>
  <c r="E14" i="31"/>
  <c r="E17" i="11" s="1"/>
  <c r="M17" i="11" s="1"/>
  <c r="E62" i="31"/>
  <c r="E31" i="11" s="1"/>
  <c r="M31" i="11" s="1"/>
  <c r="E65" i="31"/>
  <c r="E34" i="11" s="1"/>
  <c r="M34" i="11" s="1"/>
  <c r="E93" i="31"/>
  <c r="E99" i="31"/>
  <c r="E40" i="11" s="1"/>
  <c r="M40" i="11" s="1"/>
  <c r="E68" i="31"/>
  <c r="E35" i="11" s="1"/>
  <c r="K35" i="11" s="1"/>
  <c r="E72" i="31"/>
  <c r="E36" i="11" s="1"/>
  <c r="K36" i="11" s="1"/>
  <c r="A10" i="34"/>
  <c r="A11" i="34" s="1"/>
  <c r="A12" i="34" s="1"/>
  <c r="A13" i="34" s="1"/>
  <c r="A14" i="34" s="1"/>
  <c r="A16" i="34" s="1"/>
  <c r="A19" i="9"/>
  <c r="A20" i="9" s="1"/>
  <c r="A21" i="9" s="1"/>
  <c r="E133" i="2" s="1"/>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E137" i="34" s="1"/>
  <c r="G118" i="34"/>
  <c r="G124" i="34"/>
  <c r="G125" i="34" s="1"/>
  <c r="G130" i="34"/>
  <c r="G131" i="34" s="1"/>
  <c r="G136" i="34"/>
  <c r="G137" i="34" s="1"/>
  <c r="H118" i="34"/>
  <c r="H119" i="34" s="1"/>
  <c r="H124" i="34"/>
  <c r="H125" i="34" s="1"/>
  <c r="H130" i="34"/>
  <c r="H136" i="34"/>
  <c r="H137" i="34" s="1"/>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G186" i="34"/>
  <c r="H186" i="34"/>
  <c r="I186" i="34"/>
  <c r="C187" i="34"/>
  <c r="J187" i="34" s="1"/>
  <c r="E187" i="34"/>
  <c r="G187" i="34"/>
  <c r="H187" i="34"/>
  <c r="I187" i="34"/>
  <c r="C206" i="34"/>
  <c r="J206" i="34" s="1"/>
  <c r="L245" i="2" s="1"/>
  <c r="E206" i="34"/>
  <c r="G206" i="34"/>
  <c r="H206" i="34"/>
  <c r="I206" i="34"/>
  <c r="C208" i="34"/>
  <c r="J208" i="34" s="1"/>
  <c r="L247" i="2" s="1"/>
  <c r="E208" i="34"/>
  <c r="G208" i="34"/>
  <c r="H208" i="34"/>
  <c r="I208" i="34"/>
  <c r="C209" i="34"/>
  <c r="J209" i="34" s="1"/>
  <c r="L248"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42" i="2"/>
  <c r="F105" i="31"/>
  <c r="E102" i="31"/>
  <c r="A14" i="31"/>
  <c r="A22" i="31" s="1"/>
  <c r="I50" i="5"/>
  <c r="C60" i="13"/>
  <c r="K33" i="21"/>
  <c r="A22" i="21"/>
  <c r="A27" i="21" s="1"/>
  <c r="A33" i="21" s="1"/>
  <c r="D187" i="2" s="1"/>
  <c r="A6" i="21"/>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E53" i="9"/>
  <c r="E54" i="9"/>
  <c r="E55" i="9"/>
  <c r="E56" i="9"/>
  <c r="E57" i="9"/>
  <c r="E58" i="9"/>
  <c r="E59" i="9"/>
  <c r="E60" i="9"/>
  <c r="E61" i="9"/>
  <c r="E62" i="9"/>
  <c r="J13" i="8"/>
  <c r="A15" i="8"/>
  <c r="A17" i="8" s="1"/>
  <c r="J15" i="8"/>
  <c r="A27" i="8"/>
  <c r="A29" i="8" s="1"/>
  <c r="A31" i="8" s="1"/>
  <c r="E15" i="2" s="1"/>
  <c r="J17" i="8"/>
  <c r="J19" i="8"/>
  <c r="J29" i="8"/>
  <c r="A15" i="7"/>
  <c r="A17" i="7" s="1"/>
  <c r="A18" i="7" s="1"/>
  <c r="A19" i="7" s="1"/>
  <c r="A21" i="7" s="1"/>
  <c r="A17" i="6"/>
  <c r="E101" i="2" s="1"/>
  <c r="A17" i="5"/>
  <c r="A18" i="5" s="1"/>
  <c r="A19" i="5" s="1"/>
  <c r="A20" i="5" s="1"/>
  <c r="E86" i="2" s="1"/>
  <c r="F51" i="2"/>
  <c r="F115" i="2" s="1"/>
  <c r="F194" i="2" s="1"/>
  <c r="F258" i="2" s="1"/>
  <c r="F52" i="2"/>
  <c r="F116" i="2" s="1"/>
  <c r="F195" i="2" s="1"/>
  <c r="F259" i="2" s="1"/>
  <c r="F55" i="2"/>
  <c r="F119" i="2" s="1"/>
  <c r="F198" i="2" s="1"/>
  <c r="F262" i="2" s="1"/>
  <c r="B61" i="2"/>
  <c r="B125" i="2" s="1"/>
  <c r="B62" i="2"/>
  <c r="B126" i="2" s="1"/>
  <c r="D71" i="2"/>
  <c r="D79" i="2" s="1"/>
  <c r="D73" i="2"/>
  <c r="D80" i="2" s="1"/>
  <c r="D75" i="2"/>
  <c r="D81" i="2" s="1"/>
  <c r="E123" i="2"/>
  <c r="L123" i="2"/>
  <c r="E124" i="2"/>
  <c r="G124" i="2"/>
  <c r="I124" i="2"/>
  <c r="L124" i="2"/>
  <c r="D154" i="2"/>
  <c r="H216" i="2"/>
  <c r="B15" i="2"/>
  <c r="E25" i="34"/>
  <c r="E14" i="34"/>
  <c r="E63" i="34" s="1"/>
  <c r="J12" i="34"/>
  <c r="C25" i="34"/>
  <c r="C198" i="34"/>
  <c r="L87" i="13"/>
  <c r="I42" i="6"/>
  <c r="K42" i="6" s="1"/>
  <c r="E42" i="6" s="1"/>
  <c r="J78" i="6"/>
  <c r="K78" i="6" s="1"/>
  <c r="I73" i="6"/>
  <c r="K73" i="6" s="1"/>
  <c r="I48" i="6"/>
  <c r="K48" i="6" s="1"/>
  <c r="E48" i="6" s="1"/>
  <c r="J77" i="6"/>
  <c r="K77" i="6" s="1"/>
  <c r="E77" i="6" s="1"/>
  <c r="E72" i="6"/>
  <c r="I41" i="6"/>
  <c r="K41" i="6" s="1"/>
  <c r="E41" i="6" s="1"/>
  <c r="J54" i="6"/>
  <c r="J75" i="6"/>
  <c r="K75" i="6" s="1"/>
  <c r="E75" i="6" s="1"/>
  <c r="I43" i="6"/>
  <c r="K43" i="6" s="1"/>
  <c r="E43" i="6" s="1"/>
  <c r="I49" i="6"/>
  <c r="K49" i="6" s="1"/>
  <c r="E49" i="6" s="1"/>
  <c r="D79" i="6"/>
  <c r="D30" i="6" s="1"/>
  <c r="J52" i="6"/>
  <c r="K52" i="6" s="1"/>
  <c r="E52" i="6" s="1"/>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J97" i="13"/>
  <c r="E100" i="13" s="1"/>
  <c r="I98" i="20"/>
  <c r="E101" i="20" s="1"/>
  <c r="M100" i="13"/>
  <c r="M101" i="13"/>
  <c r="O100" i="13"/>
  <c r="O101" i="13"/>
  <c r="N90" i="20"/>
  <c r="G157" i="2"/>
  <c r="A64" i="36" l="1"/>
  <c r="A65" i="36" s="1"/>
  <c r="A66" i="36" s="1"/>
  <c r="A67" i="36" s="1"/>
  <c r="A68" i="36" s="1"/>
  <c r="A69" i="36" s="1"/>
  <c r="A70" i="36" s="1"/>
  <c r="A71" i="36" s="1"/>
  <c r="A72" i="36" s="1"/>
  <c r="A73" i="36" s="1"/>
  <c r="A74" i="36" s="1"/>
  <c r="A75" i="36" s="1"/>
  <c r="E39" i="11"/>
  <c r="M39" i="11" s="1"/>
  <c r="M43" i="11" s="1"/>
  <c r="G164" i="2" s="1"/>
  <c r="L164" i="2" s="1"/>
  <c r="D55" i="6"/>
  <c r="D29" i="6" s="1"/>
  <c r="D31" i="6" s="1"/>
  <c r="P153" i="13"/>
  <c r="P106" i="13"/>
  <c r="P118" i="13"/>
  <c r="H213" i="2"/>
  <c r="H217" i="2" s="1"/>
  <c r="S22" i="21"/>
  <c r="A84" i="36"/>
  <c r="D35" i="5" s="1"/>
  <c r="P114" i="13"/>
  <c r="P130" i="13"/>
  <c r="D20" i="5"/>
  <c r="P122" i="13"/>
  <c r="P102" i="13"/>
  <c r="P110" i="13"/>
  <c r="I38" i="31"/>
  <c r="I39" i="31"/>
  <c r="D48" i="36"/>
  <c r="E25" i="5" s="1"/>
  <c r="P145" i="13"/>
  <c r="J48" i="36"/>
  <c r="J55" i="36" s="1"/>
  <c r="I79" i="34"/>
  <c r="G61" i="36"/>
  <c r="G75" i="36"/>
  <c r="P108" i="13"/>
  <c r="P120" i="13"/>
  <c r="P148" i="13"/>
  <c r="P152" i="13"/>
  <c r="P156" i="13"/>
  <c r="I61" i="11"/>
  <c r="I63" i="11" s="1"/>
  <c r="I65" i="11" s="1"/>
  <c r="P104" i="13"/>
  <c r="P128" i="13"/>
  <c r="P132" i="13"/>
  <c r="J136" i="34"/>
  <c r="G11" i="39"/>
  <c r="G79" i="34"/>
  <c r="I26" i="5"/>
  <c r="C166" i="34"/>
  <c r="P126" i="13"/>
  <c r="G57" i="37"/>
  <c r="D20" i="40"/>
  <c r="I18" i="5"/>
  <c r="A19" i="6"/>
  <c r="A21" i="6" s="1"/>
  <c r="E103" i="2" s="1"/>
  <c r="F166" i="34"/>
  <c r="A24" i="9"/>
  <c r="A25" i="9" s="1"/>
  <c r="A26" i="9" s="1"/>
  <c r="A27" i="9" s="1"/>
  <c r="A28" i="9" s="1"/>
  <c r="A29" i="9" s="1"/>
  <c r="A30" i="9" s="1"/>
  <c r="A31" i="9" s="1"/>
  <c r="A32" i="9" s="1"/>
  <c r="A33" i="9" s="1"/>
  <c r="A36" i="9" s="1"/>
  <c r="A37" i="9" s="1"/>
  <c r="A38" i="9" s="1"/>
  <c r="A39" i="9" s="1"/>
  <c r="A40" i="9" s="1"/>
  <c r="A41" i="9" s="1"/>
  <c r="A44" i="9" s="1"/>
  <c r="G34" i="36"/>
  <c r="P105" i="13"/>
  <c r="P109" i="13"/>
  <c r="P113" i="13"/>
  <c r="P117" i="13"/>
  <c r="P121" i="13"/>
  <c r="P125" i="13"/>
  <c r="P129" i="13"/>
  <c r="P133" i="13"/>
  <c r="P137" i="13"/>
  <c r="P141" i="13"/>
  <c r="P149" i="13"/>
  <c r="P157" i="13"/>
  <c r="I42" i="5"/>
  <c r="G13" i="39"/>
  <c r="G21" i="39"/>
  <c r="J54" i="35"/>
  <c r="C98" i="36"/>
  <c r="G62" i="36"/>
  <c r="G29" i="36"/>
  <c r="I27" i="8"/>
  <c r="I31" i="8" s="1"/>
  <c r="I98" i="36"/>
  <c r="G32" i="36"/>
  <c r="S17" i="21"/>
  <c r="F87" i="38"/>
  <c r="G97" i="2" s="1"/>
  <c r="P107" i="13"/>
  <c r="P111" i="13"/>
  <c r="P115" i="13"/>
  <c r="P119" i="13"/>
  <c r="P123" i="13"/>
  <c r="P127" i="13"/>
  <c r="P131" i="13"/>
  <c r="P135" i="13"/>
  <c r="P139" i="13"/>
  <c r="P100" i="13"/>
  <c r="G17" i="36"/>
  <c r="G74" i="36"/>
  <c r="G33" i="36"/>
  <c r="H199" i="34"/>
  <c r="G15" i="39"/>
  <c r="G17" i="39"/>
  <c r="G19" i="39"/>
  <c r="H32" i="39"/>
  <c r="H40" i="39"/>
  <c r="H166" i="34"/>
  <c r="E73" i="9"/>
  <c r="E17" i="5"/>
  <c r="G38" i="36"/>
  <c r="H35" i="39"/>
  <c r="G61" i="37"/>
  <c r="P116" i="13"/>
  <c r="D23" i="42"/>
  <c r="D64" i="9"/>
  <c r="G166" i="34"/>
  <c r="J193" i="34"/>
  <c r="P147" i="13"/>
  <c r="P151" i="13"/>
  <c r="P155" i="13"/>
  <c r="P159" i="13"/>
  <c r="G19" i="36"/>
  <c r="G10" i="39"/>
  <c r="G12" i="39"/>
  <c r="G18" i="39"/>
  <c r="H31" i="39"/>
  <c r="H34" i="39"/>
  <c r="P136" i="13"/>
  <c r="P140" i="13"/>
  <c r="J194" i="34"/>
  <c r="G81" i="36"/>
  <c r="G27" i="5"/>
  <c r="G58" i="37"/>
  <c r="J32" i="34"/>
  <c r="E23" i="36"/>
  <c r="F52" i="34"/>
  <c r="J118" i="34"/>
  <c r="F80" i="38"/>
  <c r="G95" i="2" s="1"/>
  <c r="L95" i="2" s="1"/>
  <c r="P134" i="13"/>
  <c r="P138" i="13"/>
  <c r="P142" i="13"/>
  <c r="G41" i="5"/>
  <c r="A29" i="38"/>
  <c r="A30" i="38" s="1"/>
  <c r="A31" i="38" s="1"/>
  <c r="A32" i="38" s="1"/>
  <c r="A33" i="38" s="1"/>
  <c r="A34" i="38" s="1"/>
  <c r="A35" i="38" s="1"/>
  <c r="A36" i="38" s="1"/>
  <c r="A37" i="38" s="1"/>
  <c r="A38" i="38" s="1"/>
  <c r="A39" i="38" s="1"/>
  <c r="A40" i="38" s="1"/>
  <c r="A41" i="38" s="1"/>
  <c r="A42" i="38" s="1"/>
  <c r="E72" i="2" s="1"/>
  <c r="E64" i="2"/>
  <c r="E67" i="2"/>
  <c r="O33" i="21"/>
  <c r="G187" i="2" s="1"/>
  <c r="H79" i="34"/>
  <c r="P112" i="13"/>
  <c r="P124" i="13"/>
  <c r="P144" i="13"/>
  <c r="G71" i="36"/>
  <c r="N88" i="13"/>
  <c r="O21" i="13" s="1"/>
  <c r="E53" i="11"/>
  <c r="E55" i="11" s="1"/>
  <c r="G119" i="34"/>
  <c r="J119" i="34" s="1"/>
  <c r="I199" i="34"/>
  <c r="G37" i="36"/>
  <c r="D98" i="36"/>
  <c r="E49" i="5"/>
  <c r="E51" i="5" s="1"/>
  <c r="C64" i="37"/>
  <c r="H38" i="39"/>
  <c r="H41" i="39"/>
  <c r="G139" i="34"/>
  <c r="G151" i="34" s="1"/>
  <c r="D33" i="9"/>
  <c r="G131" i="2" s="1"/>
  <c r="G134" i="2" s="1"/>
  <c r="F79" i="34"/>
  <c r="E199" i="34"/>
  <c r="J124" i="34"/>
  <c r="P150" i="13"/>
  <c r="P154" i="13"/>
  <c r="P158" i="13"/>
  <c r="J98" i="36"/>
  <c r="E64" i="37"/>
  <c r="I166" i="34"/>
  <c r="I34" i="5"/>
  <c r="D33" i="40"/>
  <c r="G146" i="2" s="1"/>
  <c r="B13" i="34"/>
  <c r="A19" i="34"/>
  <c r="A20" i="34" s="1"/>
  <c r="A21" i="34" s="1"/>
  <c r="A22" i="34" s="1"/>
  <c r="A23" i="34" s="1"/>
  <c r="A24" i="34" s="1"/>
  <c r="A25" i="34" s="1"/>
  <c r="A28" i="34" s="1"/>
  <c r="E163" i="2"/>
  <c r="A23" i="31"/>
  <c r="A30" i="31" s="1"/>
  <c r="A37" i="31" s="1"/>
  <c r="A43" i="31" s="1"/>
  <c r="A52" i="31" s="1"/>
  <c r="A53" i="31" s="1"/>
  <c r="A55" i="31" s="1"/>
  <c r="A57" i="31" s="1"/>
  <c r="A61" i="31" s="1"/>
  <c r="A62" i="31" s="1"/>
  <c r="A64" i="31" s="1"/>
  <c r="A65" i="31" s="1"/>
  <c r="A68" i="31" s="1"/>
  <c r="A72" i="31" s="1"/>
  <c r="A84" i="31" s="1"/>
  <c r="A89" i="31" s="1"/>
  <c r="A93" i="31" s="1"/>
  <c r="A99" i="31" s="1"/>
  <c r="A102" i="31" s="1"/>
  <c r="A105" i="31" s="1"/>
  <c r="E140" i="34"/>
  <c r="B63" i="34"/>
  <c r="P101" i="13"/>
  <c r="N89" i="13"/>
  <c r="O22" i="13" s="1"/>
  <c r="G19" i="5"/>
  <c r="G28" i="36"/>
  <c r="J195" i="34"/>
  <c r="G95" i="36"/>
  <c r="G43" i="11"/>
  <c r="G36" i="36"/>
  <c r="G60" i="36"/>
  <c r="K98" i="36"/>
  <c r="G49" i="5"/>
  <c r="G51" i="5" s="1"/>
  <c r="G21" i="36"/>
  <c r="E52" i="34"/>
  <c r="E166" i="34"/>
  <c r="J197" i="34"/>
  <c r="I52" i="5"/>
  <c r="L90" i="2" s="1"/>
  <c r="A81" i="13"/>
  <c r="J79" i="6"/>
  <c r="J30" i="6" s="1"/>
  <c r="C79" i="34"/>
  <c r="I78" i="36"/>
  <c r="I84" i="36" s="1"/>
  <c r="G43" i="5"/>
  <c r="S27" i="21"/>
  <c r="Q27" i="41"/>
  <c r="D23" i="38"/>
  <c r="G64" i="2" s="1"/>
  <c r="F73" i="9"/>
  <c r="G145" i="2" s="1"/>
  <c r="L145" i="2" s="1"/>
  <c r="G30" i="36"/>
  <c r="E43" i="32"/>
  <c r="E45" i="32" s="1"/>
  <c r="E64" i="9"/>
  <c r="F342" i="2"/>
  <c r="G169" i="2" s="1"/>
  <c r="G173" i="2" s="1"/>
  <c r="G178" i="2" s="1"/>
  <c r="P143" i="13"/>
  <c r="G62" i="37"/>
  <c r="A22" i="40"/>
  <c r="A23" i="40" s="1"/>
  <c r="A26" i="40" s="1"/>
  <c r="A27" i="40" s="1"/>
  <c r="A28" i="40" s="1"/>
  <c r="A29" i="40" s="1"/>
  <c r="A30" i="40" s="1"/>
  <c r="E227" i="2"/>
  <c r="E228" i="2"/>
  <c r="K43" i="11"/>
  <c r="G165" i="2" s="1"/>
  <c r="A23" i="7"/>
  <c r="E110" i="2" s="1"/>
  <c r="B23" i="7"/>
  <c r="G33" i="5"/>
  <c r="G35" i="5"/>
  <c r="C199" i="34"/>
  <c r="D42" i="39"/>
  <c r="I53" i="34"/>
  <c r="I203" i="34" s="1"/>
  <c r="J31" i="34"/>
  <c r="P146" i="13"/>
  <c r="I23" i="31"/>
  <c r="L42" i="2"/>
  <c r="A23" i="5"/>
  <c r="A25" i="5" s="1"/>
  <c r="A26" i="5" s="1"/>
  <c r="A27" i="5" s="1"/>
  <c r="A28" i="5" s="1"/>
  <c r="F139" i="34"/>
  <c r="J25" i="34"/>
  <c r="F101" i="20"/>
  <c r="D102" i="20" s="1"/>
  <c r="E102" i="20" s="1"/>
  <c r="G17" i="5"/>
  <c r="G39" i="36"/>
  <c r="G82" i="36"/>
  <c r="G96" i="36"/>
  <c r="I64" i="37"/>
  <c r="G60" i="37"/>
  <c r="G52" i="36"/>
  <c r="G73" i="36"/>
  <c r="D73" i="9"/>
  <c r="E139" i="34"/>
  <c r="H188" i="34"/>
  <c r="H213" i="34" s="1"/>
  <c r="F188" i="34"/>
  <c r="F213" i="34" s="1"/>
  <c r="G31" i="6"/>
  <c r="G106" i="2" s="1"/>
  <c r="L106" i="2" s="1"/>
  <c r="H52" i="34"/>
  <c r="H64" i="34" s="1"/>
  <c r="F23" i="36"/>
  <c r="E19" i="5"/>
  <c r="G72" i="36"/>
  <c r="E93" i="2"/>
  <c r="J101" i="34"/>
  <c r="J150" i="34" s="1"/>
  <c r="I188" i="34"/>
  <c r="G20" i="36"/>
  <c r="G35" i="36"/>
  <c r="K78" i="36"/>
  <c r="K84" i="36" s="1"/>
  <c r="G59" i="37"/>
  <c r="F23" i="39"/>
  <c r="L229" i="2" s="1"/>
  <c r="C42" i="38"/>
  <c r="C125" i="34"/>
  <c r="J125" i="34" s="1"/>
  <c r="J27" i="8"/>
  <c r="J31" i="8" s="1"/>
  <c r="I52" i="34"/>
  <c r="C23" i="39"/>
  <c r="L226" i="2" s="1"/>
  <c r="G14" i="39"/>
  <c r="G16" i="39"/>
  <c r="G20" i="39"/>
  <c r="G22" i="39"/>
  <c r="E42" i="39"/>
  <c r="H33" i="39"/>
  <c r="H36" i="39"/>
  <c r="H37" i="39"/>
  <c r="H39" i="39"/>
  <c r="E55" i="39"/>
  <c r="L223" i="2" s="1"/>
  <c r="H139" i="34"/>
  <c r="H167" i="34" s="1"/>
  <c r="C139" i="34"/>
  <c r="J14" i="34"/>
  <c r="J63" i="34" s="1"/>
  <c r="G50" i="36"/>
  <c r="D23" i="39"/>
  <c r="E22" i="31"/>
  <c r="E105" i="31" s="1"/>
  <c r="G51" i="36"/>
  <c r="E23" i="39"/>
  <c r="L228" i="2" s="1"/>
  <c r="C70" i="36"/>
  <c r="E78" i="36"/>
  <c r="E84" i="36" s="1"/>
  <c r="G31" i="36"/>
  <c r="I79" i="6"/>
  <c r="I30" i="6" s="1"/>
  <c r="K65" i="6"/>
  <c r="O26" i="20"/>
  <c r="L36" i="2" s="1"/>
  <c r="G24" i="2"/>
  <c r="L24" i="2" s="1"/>
  <c r="E164" i="2"/>
  <c r="A48" i="11"/>
  <c r="E165" i="2"/>
  <c r="E161" i="2"/>
  <c r="J137" i="34"/>
  <c r="I26" i="11"/>
  <c r="I43" i="11" s="1"/>
  <c r="G161" i="2" s="1"/>
  <c r="E55" i="6"/>
  <c r="E29" i="6" s="1"/>
  <c r="F38" i="34"/>
  <c r="J38" i="34" s="1"/>
  <c r="J37" i="34"/>
  <c r="K55" i="36"/>
  <c r="I55" i="6"/>
  <c r="I29" i="6" s="1"/>
  <c r="G50" i="34"/>
  <c r="J49" i="34"/>
  <c r="G42" i="39"/>
  <c r="H29" i="39"/>
  <c r="F42" i="38"/>
  <c r="G74" i="2" s="1"/>
  <c r="F100" i="13"/>
  <c r="D101" i="13" s="1"/>
  <c r="E66" i="2"/>
  <c r="E65" i="2"/>
  <c r="D44" i="9"/>
  <c r="E38" i="9"/>
  <c r="E44" i="9" s="1"/>
  <c r="H30" i="39"/>
  <c r="C42" i="39"/>
  <c r="F42" i="39"/>
  <c r="J198" i="34"/>
  <c r="F199" i="34"/>
  <c r="M89" i="13"/>
  <c r="M88" i="13"/>
  <c r="N21" i="13" s="1"/>
  <c r="P103" i="13"/>
  <c r="A84" i="38"/>
  <c r="A87" i="38" s="1"/>
  <c r="E95" i="2"/>
  <c r="E226" i="2"/>
  <c r="E229" i="2"/>
  <c r="B74" i="39"/>
  <c r="A29" i="39"/>
  <c r="A30" i="39" s="1"/>
  <c r="A31" i="39" s="1"/>
  <c r="A32" i="39" s="1"/>
  <c r="A33" i="39" s="1"/>
  <c r="A34" i="39" s="1"/>
  <c r="A35" i="39" s="1"/>
  <c r="A36" i="39" s="1"/>
  <c r="A37" i="39" s="1"/>
  <c r="A38" i="39" s="1"/>
  <c r="A39" i="39" s="1"/>
  <c r="A40" i="39" s="1"/>
  <c r="A41" i="39" s="1"/>
  <c r="A42" i="39" s="1"/>
  <c r="B17" i="2"/>
  <c r="B18" i="2" s="1"/>
  <c r="B24" i="2" s="1"/>
  <c r="B26" i="2" s="1"/>
  <c r="B27" i="2" s="1"/>
  <c r="E18" i="2"/>
  <c r="E188" i="34"/>
  <c r="E213" i="34" s="1"/>
  <c r="G199" i="34"/>
  <c r="I139" i="34"/>
  <c r="I131" i="34"/>
  <c r="I140" i="34" s="1"/>
  <c r="C50" i="34"/>
  <c r="C52" i="34"/>
  <c r="K64" i="37"/>
  <c r="G22" i="35"/>
  <c r="I21" i="35"/>
  <c r="J43" i="34"/>
  <c r="G44" i="34"/>
  <c r="J44" i="34" s="1"/>
  <c r="G52" i="34"/>
  <c r="I55" i="36"/>
  <c r="P27" i="41"/>
  <c r="D42" i="38"/>
  <c r="G72" i="2" s="1"/>
  <c r="H131" i="34"/>
  <c r="J130" i="34"/>
  <c r="H50" i="34"/>
  <c r="H53" i="34" s="1"/>
  <c r="H203" i="34" s="1"/>
  <c r="G56" i="37"/>
  <c r="E42" i="38"/>
  <c r="G73" i="2" s="1"/>
  <c r="L15" i="42"/>
  <c r="J23" i="42"/>
  <c r="J55" i="6"/>
  <c r="J29" i="6" s="1"/>
  <c r="K54" i="6"/>
  <c r="K55" i="6" s="1"/>
  <c r="K29" i="6" s="1"/>
  <c r="F140" i="34"/>
  <c r="G48" i="20"/>
  <c r="F48" i="13"/>
  <c r="G23" i="38"/>
  <c r="G67" i="2" s="1"/>
  <c r="E23" i="38"/>
  <c r="G65" i="2" s="1"/>
  <c r="E79" i="34"/>
  <c r="J112" i="34"/>
  <c r="G188" i="34"/>
  <c r="G213" i="34" s="1"/>
  <c r="J196" i="34"/>
  <c r="G25" i="5"/>
  <c r="F23" i="38"/>
  <c r="G66" i="2" s="1"/>
  <c r="G42" i="38"/>
  <c r="G75" i="2" s="1"/>
  <c r="E53" i="34"/>
  <c r="E203" i="34" s="1"/>
  <c r="J186" i="34"/>
  <c r="J188" i="34" s="1"/>
  <c r="J213" i="34" s="1"/>
  <c r="C188" i="34"/>
  <c r="G63" i="36"/>
  <c r="I30" i="31"/>
  <c r="A82" i="20"/>
  <c r="C23" i="38"/>
  <c r="G63" i="2" s="1"/>
  <c r="H21" i="42"/>
  <c r="O21" i="42"/>
  <c r="E49" i="36"/>
  <c r="A40" i="37" l="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E43" i="11"/>
  <c r="A85" i="36"/>
  <c r="D34" i="5" s="1"/>
  <c r="B79" i="34"/>
  <c r="I37" i="31"/>
  <c r="I22" i="31" s="1"/>
  <c r="L163" i="2" s="1"/>
  <c r="E27" i="5"/>
  <c r="I27" i="5" s="1"/>
  <c r="G48" i="36"/>
  <c r="F49" i="36"/>
  <c r="D49" i="36" s="1"/>
  <c r="D55" i="36" s="1"/>
  <c r="O23" i="13"/>
  <c r="G167" i="34"/>
  <c r="G140" i="34"/>
  <c r="G144" i="34"/>
  <c r="G147" i="34" s="1"/>
  <c r="G152" i="34" s="1"/>
  <c r="G153" i="34" s="1"/>
  <c r="G156" i="34" s="1"/>
  <c r="J31" i="6"/>
  <c r="G104" i="2" s="1"/>
  <c r="L41" i="2"/>
  <c r="E131" i="2"/>
  <c r="S33" i="21"/>
  <c r="L187" i="2" s="1"/>
  <c r="G44" i="5"/>
  <c r="A27" i="6"/>
  <c r="A29" i="6" s="1"/>
  <c r="A30" i="6" s="1"/>
  <c r="A31" i="6" s="1"/>
  <c r="E107" i="2" s="1"/>
  <c r="E102" i="2"/>
  <c r="F229" i="34"/>
  <c r="H144" i="34"/>
  <c r="H147" i="34" s="1"/>
  <c r="H152" i="34" s="1"/>
  <c r="H151" i="34"/>
  <c r="I17" i="5"/>
  <c r="G86" i="2" s="1"/>
  <c r="G180" i="2"/>
  <c r="G147" i="2"/>
  <c r="G149" i="2" s="1"/>
  <c r="G151" i="2" s="1"/>
  <c r="A49" i="38"/>
  <c r="A50" i="38" s="1"/>
  <c r="A51" i="38" s="1"/>
  <c r="A52" i="38" s="1"/>
  <c r="A53" i="38" s="1"/>
  <c r="A54" i="38" s="1"/>
  <c r="A55" i="38" s="1"/>
  <c r="A56" i="38" s="1"/>
  <c r="A57" i="38" s="1"/>
  <c r="A58" i="38" s="1"/>
  <c r="A59" i="38" s="1"/>
  <c r="A60" i="38" s="1"/>
  <c r="A61" i="38" s="1"/>
  <c r="A62" i="38" s="1"/>
  <c r="D206" i="2" s="1"/>
  <c r="J166" i="34"/>
  <c r="E20" i="5"/>
  <c r="G23" i="36"/>
  <c r="E73" i="2"/>
  <c r="F202" i="34"/>
  <c r="F207" i="34" s="1"/>
  <c r="F210" i="34" s="1"/>
  <c r="F215" i="34" s="1"/>
  <c r="E71" i="2"/>
  <c r="E74" i="2"/>
  <c r="E75" i="2"/>
  <c r="H57" i="34"/>
  <c r="H60" i="34" s="1"/>
  <c r="H65" i="34" s="1"/>
  <c r="H66" i="34" s="1"/>
  <c r="H68" i="34" s="1"/>
  <c r="H84" i="34" s="1"/>
  <c r="H87" i="34" s="1"/>
  <c r="N90" i="13"/>
  <c r="D28" i="5"/>
  <c r="G98" i="36"/>
  <c r="P21" i="13"/>
  <c r="H202" i="34"/>
  <c r="H230" i="34" s="1"/>
  <c r="I49" i="5"/>
  <c r="I51" i="5" s="1"/>
  <c r="G90" i="2" s="1"/>
  <c r="F57" i="34"/>
  <c r="F60" i="34" s="1"/>
  <c r="F65" i="34" s="1"/>
  <c r="F64" i="34"/>
  <c r="F80" i="34"/>
  <c r="H80" i="34"/>
  <c r="G229" i="34"/>
  <c r="J131" i="34"/>
  <c r="G23" i="39"/>
  <c r="C140" i="34"/>
  <c r="C30" i="40"/>
  <c r="G179" i="2"/>
  <c r="E57" i="34"/>
  <c r="E60" i="34" s="1"/>
  <c r="E65" i="34" s="1"/>
  <c r="E64" i="34"/>
  <c r="E80" i="34"/>
  <c r="G53" i="34"/>
  <c r="G203" i="34" s="1"/>
  <c r="G100" i="13"/>
  <c r="F102" i="20"/>
  <c r="D103" i="20" s="1"/>
  <c r="E103" i="20" s="1"/>
  <c r="F103" i="20" s="1"/>
  <c r="D104" i="20" s="1"/>
  <c r="B23" i="40"/>
  <c r="J199" i="34"/>
  <c r="J229" i="34" s="1"/>
  <c r="G100" i="2"/>
  <c r="C78" i="36"/>
  <c r="C84" i="36" s="1"/>
  <c r="H229" i="34"/>
  <c r="E144" i="34"/>
  <c r="E147" i="34" s="1"/>
  <c r="E152" i="34" s="1"/>
  <c r="E167" i="34"/>
  <c r="E202" i="34"/>
  <c r="E151" i="34"/>
  <c r="G163" i="2"/>
  <c r="G166" i="2" s="1"/>
  <c r="H216" i="34"/>
  <c r="H218" i="34" s="1"/>
  <c r="H140" i="34"/>
  <c r="I213" i="34"/>
  <c r="I229" i="34"/>
  <c r="I19" i="5"/>
  <c r="G36" i="5"/>
  <c r="G80" i="2"/>
  <c r="K48" i="11" s="1"/>
  <c r="K51" i="11" s="1"/>
  <c r="K53" i="11" s="1"/>
  <c r="K55" i="11" s="1"/>
  <c r="E74" i="39"/>
  <c r="E76" i="39" s="1"/>
  <c r="L227" i="2"/>
  <c r="J79" i="34"/>
  <c r="C151" i="34"/>
  <c r="C167" i="34"/>
  <c r="C144" i="34"/>
  <c r="C147" i="34" s="1"/>
  <c r="C152" i="34" s="1"/>
  <c r="G81" i="2"/>
  <c r="G20" i="5"/>
  <c r="F53" i="34"/>
  <c r="F203" i="34" s="1"/>
  <c r="G71" i="2"/>
  <c r="C64" i="38"/>
  <c r="L71" i="2" s="1"/>
  <c r="F167" i="34"/>
  <c r="F151" i="34"/>
  <c r="F144" i="34"/>
  <c r="F147" i="34" s="1"/>
  <c r="F152" i="34" s="1"/>
  <c r="I57" i="34"/>
  <c r="I60" i="34" s="1"/>
  <c r="I65" i="34" s="1"/>
  <c r="I64" i="34"/>
  <c r="I80" i="34"/>
  <c r="O88" i="13"/>
  <c r="F216" i="34"/>
  <c r="F218" i="34" s="1"/>
  <c r="J216" i="34"/>
  <c r="H255" i="2" s="1"/>
  <c r="L21" i="35"/>
  <c r="A48" i="39"/>
  <c r="A49" i="39" s="1"/>
  <c r="A50" i="11"/>
  <c r="A51" i="11" s="1"/>
  <c r="C61" i="11" s="1"/>
  <c r="G80" i="34"/>
  <c r="G57" i="34"/>
  <c r="G60" i="34" s="1"/>
  <c r="G65" i="34" s="1"/>
  <c r="G202" i="34"/>
  <c r="G64" i="34"/>
  <c r="C64" i="34"/>
  <c r="C57" i="34"/>
  <c r="J52" i="34"/>
  <c r="C202" i="34"/>
  <c r="C80" i="34"/>
  <c r="E28" i="2"/>
  <c r="B28" i="2"/>
  <c r="B30" i="2" s="1"/>
  <c r="B31" i="2" s="1"/>
  <c r="D30" i="2"/>
  <c r="H42" i="39"/>
  <c r="N22" i="13"/>
  <c r="O89" i="13"/>
  <c r="M90" i="13"/>
  <c r="I25" i="5"/>
  <c r="G28" i="5"/>
  <c r="J50" i="34"/>
  <c r="C53" i="34"/>
  <c r="E101" i="13"/>
  <c r="F101" i="13" s="1"/>
  <c r="D102" i="13" s="1"/>
  <c r="C22" i="31"/>
  <c r="A29" i="34"/>
  <c r="C33" i="40"/>
  <c r="A33" i="40"/>
  <c r="E146" i="2" s="1"/>
  <c r="G216" i="34"/>
  <c r="G218" i="34" s="1"/>
  <c r="L23" i="42"/>
  <c r="O15" i="42"/>
  <c r="O23" i="42" s="1"/>
  <c r="E229" i="34"/>
  <c r="A47" i="9"/>
  <c r="A48" i="9" s="1"/>
  <c r="A49" i="9" s="1"/>
  <c r="A50" i="9" s="1"/>
  <c r="A51" i="9" s="1"/>
  <c r="A52" i="9" s="1"/>
  <c r="A53" i="9" s="1"/>
  <c r="A54" i="9" s="1"/>
  <c r="A55" i="9" s="1"/>
  <c r="A56" i="9" s="1"/>
  <c r="A57" i="9" s="1"/>
  <c r="A58" i="9" s="1"/>
  <c r="A59" i="9" s="1"/>
  <c r="A60" i="9" s="1"/>
  <c r="A61" i="9" s="1"/>
  <c r="A62" i="9" s="1"/>
  <c r="A64" i="9" s="1"/>
  <c r="E143" i="2"/>
  <c r="E65" i="6"/>
  <c r="E79" i="6" s="1"/>
  <c r="E30" i="6" s="1"/>
  <c r="E31" i="6" s="1"/>
  <c r="G107" i="2" s="1"/>
  <c r="L107" i="2" s="1"/>
  <c r="K79" i="6"/>
  <c r="K30" i="6" s="1"/>
  <c r="K31" i="6" s="1"/>
  <c r="G23" i="35"/>
  <c r="I22" i="35"/>
  <c r="L22" i="35" s="1"/>
  <c r="E216" i="34"/>
  <c r="G68" i="2"/>
  <c r="L204" i="2"/>
  <c r="C49" i="36"/>
  <c r="E55" i="36"/>
  <c r="C213" i="34"/>
  <c r="C229" i="34"/>
  <c r="I151" i="34"/>
  <c r="I167" i="34"/>
  <c r="I144" i="34"/>
  <c r="I147" i="34" s="1"/>
  <c r="I152" i="34" s="1"/>
  <c r="I202" i="34"/>
  <c r="J139" i="34"/>
  <c r="A31" i="5"/>
  <c r="A33" i="5" s="1"/>
  <c r="E87" i="2"/>
  <c r="I31" i="6"/>
  <c r="G105" i="2" s="1"/>
  <c r="L45" i="2" l="1"/>
  <c r="A87" i="36"/>
  <c r="A89" i="36" s="1"/>
  <c r="A91" i="36" s="1"/>
  <c r="A93" i="36" s="1"/>
  <c r="A94" i="36" s="1"/>
  <c r="A95" i="36" s="1"/>
  <c r="A96" i="36" s="1"/>
  <c r="A97" i="36" s="1"/>
  <c r="A98" i="36" s="1"/>
  <c r="D52" i="5" s="1"/>
  <c r="E28" i="5"/>
  <c r="F214" i="34"/>
  <c r="F219" i="34" s="1"/>
  <c r="G234" i="34"/>
  <c r="G237" i="34" s="1"/>
  <c r="G155" i="34"/>
  <c r="G171" i="34" s="1"/>
  <c r="G174" i="34" s="1"/>
  <c r="F55" i="36"/>
  <c r="G172" i="34"/>
  <c r="H70" i="34"/>
  <c r="H86" i="34" s="1"/>
  <c r="H69" i="34"/>
  <c r="H85" i="34" s="1"/>
  <c r="G157" i="34"/>
  <c r="G173" i="34" s="1"/>
  <c r="F230" i="34"/>
  <c r="I20" i="5"/>
  <c r="L86" i="2" s="1"/>
  <c r="H153" i="34"/>
  <c r="H155" i="34" s="1"/>
  <c r="H171" i="34" s="1"/>
  <c r="H174" i="34" s="1"/>
  <c r="E105" i="2"/>
  <c r="E104" i="2"/>
  <c r="E106"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2" i="6" s="1"/>
  <c r="A73" i="6" s="1"/>
  <c r="A74" i="6" s="1"/>
  <c r="A75" i="6" s="1"/>
  <c r="A76" i="6" s="1"/>
  <c r="A77" i="6" s="1"/>
  <c r="A78" i="6" s="1"/>
  <c r="F234" i="34"/>
  <c r="F237" i="34" s="1"/>
  <c r="D205" i="2"/>
  <c r="J140" i="34"/>
  <c r="H207" i="34"/>
  <c r="H210" i="34" s="1"/>
  <c r="H215" i="34" s="1"/>
  <c r="H220" i="34" s="1"/>
  <c r="H236" i="34" s="1"/>
  <c r="H214" i="34"/>
  <c r="H219" i="34" s="1"/>
  <c r="H235" i="34" s="1"/>
  <c r="L242" i="2"/>
  <c r="F66" i="34"/>
  <c r="F220" i="34"/>
  <c r="F236" i="34" s="1"/>
  <c r="C153" i="34"/>
  <c r="C157" i="34" s="1"/>
  <c r="C173" i="34" s="1"/>
  <c r="H234" i="34"/>
  <c r="H237" i="34" s="1"/>
  <c r="E66" i="34"/>
  <c r="E68" i="34" s="1"/>
  <c r="E84" i="34" s="1"/>
  <c r="E87" i="34" s="1"/>
  <c r="J71" i="2"/>
  <c r="I216" i="34"/>
  <c r="I218" i="34" s="1"/>
  <c r="I234" i="34" s="1"/>
  <c r="I237" i="34" s="1"/>
  <c r="G79" i="2"/>
  <c r="G48" i="11" s="1"/>
  <c r="G234" i="2"/>
  <c r="J234" i="2" s="1"/>
  <c r="L230" i="2"/>
  <c r="G235" i="2" s="1"/>
  <c r="I66" i="34"/>
  <c r="I68" i="34" s="1"/>
  <c r="I84" i="34" s="1"/>
  <c r="I87" i="34" s="1"/>
  <c r="E214" i="34"/>
  <c r="E219" i="34" s="1"/>
  <c r="E207" i="34"/>
  <c r="E210" i="34" s="1"/>
  <c r="E215" i="34" s="1"/>
  <c r="E220" i="34" s="1"/>
  <c r="E236" i="34" s="1"/>
  <c r="E230" i="34"/>
  <c r="O90" i="13"/>
  <c r="E153" i="34"/>
  <c r="E155" i="34" s="1"/>
  <c r="E171" i="34" s="1"/>
  <c r="E174" i="34" s="1"/>
  <c r="G76" i="2"/>
  <c r="G108" i="2"/>
  <c r="F153" i="34"/>
  <c r="F155" i="34" s="1"/>
  <c r="F171" i="34" s="1"/>
  <c r="F174" i="34" s="1"/>
  <c r="K61" i="11"/>
  <c r="K63" i="11" s="1"/>
  <c r="K65" i="11" s="1"/>
  <c r="E67" i="11" s="1"/>
  <c r="E68" i="11" s="1"/>
  <c r="G49" i="36"/>
  <c r="G55" i="36" s="1"/>
  <c r="C55" i="36"/>
  <c r="E104" i="20"/>
  <c r="E102" i="13"/>
  <c r="F102" i="13" s="1"/>
  <c r="D33" i="2"/>
  <c r="C70" i="13"/>
  <c r="C70" i="20"/>
  <c r="B33" i="2"/>
  <c r="B34" i="2" s="1"/>
  <c r="G214" i="34"/>
  <c r="G219" i="34" s="1"/>
  <c r="G207" i="34"/>
  <c r="G210" i="34" s="1"/>
  <c r="G215" i="34" s="1"/>
  <c r="G220" i="34" s="1"/>
  <c r="G236" i="34" s="1"/>
  <c r="G230" i="34"/>
  <c r="A50" i="39"/>
  <c r="A51" i="39" s="1"/>
  <c r="A52" i="39" s="1"/>
  <c r="A53" i="39" s="1"/>
  <c r="A54" i="39" s="1"/>
  <c r="A55" i="39" s="1"/>
  <c r="E218" i="34"/>
  <c r="E234" i="34" s="1"/>
  <c r="E237" i="34" s="1"/>
  <c r="A30" i="34"/>
  <c r="A31" i="34" s="1"/>
  <c r="N23" i="13"/>
  <c r="P22" i="13"/>
  <c r="P23" i="13" s="1"/>
  <c r="C230" i="34"/>
  <c r="C214" i="34"/>
  <c r="C207" i="34"/>
  <c r="E57" i="11"/>
  <c r="I57" i="11"/>
  <c r="I58" i="11" s="1"/>
  <c r="I59" i="11" s="1"/>
  <c r="K57" i="11"/>
  <c r="K58" i="11" s="1"/>
  <c r="G57" i="11"/>
  <c r="L207" i="2"/>
  <c r="L63" i="2" s="1"/>
  <c r="I28" i="5"/>
  <c r="L87" i="2" s="1"/>
  <c r="G87" i="2"/>
  <c r="J80" i="34"/>
  <c r="J202" i="34"/>
  <c r="J64" i="34"/>
  <c r="G24" i="35"/>
  <c r="I23" i="35"/>
  <c r="L23" i="35" s="1"/>
  <c r="E57" i="39"/>
  <c r="G233" i="2"/>
  <c r="C60" i="34"/>
  <c r="C65" i="34" s="1"/>
  <c r="C66" i="34" s="1"/>
  <c r="C68" i="34" s="1"/>
  <c r="C84" i="34" s="1"/>
  <c r="C87" i="34" s="1"/>
  <c r="J57" i="34"/>
  <c r="J60" i="34" s="1"/>
  <c r="J65" i="34" s="1"/>
  <c r="J144" i="34"/>
  <c r="J147" i="34" s="1"/>
  <c r="J152" i="34" s="1"/>
  <c r="A67" i="9"/>
  <c r="A68" i="9" s="1"/>
  <c r="A71" i="9" s="1"/>
  <c r="A73" i="9" s="1"/>
  <c r="E145" i="2" s="1"/>
  <c r="E144" i="2"/>
  <c r="I153" i="34"/>
  <c r="I155" i="34" s="1"/>
  <c r="I171" i="34" s="1"/>
  <c r="I174" i="34" s="1"/>
  <c r="J151" i="34"/>
  <c r="J167" i="34"/>
  <c r="C216" i="34"/>
  <c r="C218" i="34" s="1"/>
  <c r="C234" i="34" s="1"/>
  <c r="C237" i="34" s="1"/>
  <c r="G101" i="13"/>
  <c r="C51" i="11"/>
  <c r="J218" i="34"/>
  <c r="J53" i="34"/>
  <c r="J203" i="34" s="1"/>
  <c r="L243" i="2" s="1"/>
  <c r="J253" i="2" s="1"/>
  <c r="C203" i="34"/>
  <c r="A34" i="5"/>
  <c r="A35" i="5" s="1"/>
  <c r="A36" i="5" s="1"/>
  <c r="A39" i="5" s="1"/>
  <c r="A41" i="5" s="1"/>
  <c r="I230" i="34"/>
  <c r="I214" i="34"/>
  <c r="I207" i="34"/>
  <c r="I210" i="34" s="1"/>
  <c r="I215" i="34" s="1"/>
  <c r="G66" i="34"/>
  <c r="G68" i="34" s="1"/>
  <c r="G84" i="34" s="1"/>
  <c r="G87" i="34" s="1"/>
  <c r="A52" i="11"/>
  <c r="A53" i="11" s="1"/>
  <c r="H156" i="34" l="1"/>
  <c r="H172" i="34" s="1"/>
  <c r="I67" i="11"/>
  <c r="I68" i="11" s="1"/>
  <c r="I69" i="11" s="1"/>
  <c r="C156" i="34"/>
  <c r="C172" i="34" s="1"/>
  <c r="H157" i="34"/>
  <c r="H173" i="34" s="1"/>
  <c r="F235" i="34"/>
  <c r="A70" i="6"/>
  <c r="A71" i="6" s="1"/>
  <c r="G82" i="2"/>
  <c r="C155" i="34"/>
  <c r="C171" i="34" s="1"/>
  <c r="C174" i="34" s="1"/>
  <c r="F69" i="34"/>
  <c r="F85" i="34" s="1"/>
  <c r="F70" i="34"/>
  <c r="F86" i="34" s="1"/>
  <c r="F68" i="34"/>
  <c r="F84" i="34" s="1"/>
  <c r="F87" i="34" s="1"/>
  <c r="E70" i="34"/>
  <c r="E86" i="34" s="1"/>
  <c r="I220" i="34"/>
  <c r="I236" i="34" s="1"/>
  <c r="I219" i="34"/>
  <c r="I235" i="34" s="1"/>
  <c r="F156" i="34"/>
  <c r="F172" i="34" s="1"/>
  <c r="E157" i="34"/>
  <c r="E173" i="34" s="1"/>
  <c r="E69" i="34"/>
  <c r="E85" i="34" s="1"/>
  <c r="K67" i="11"/>
  <c r="K68" i="11" s="1"/>
  <c r="G67" i="11"/>
  <c r="E235" i="34"/>
  <c r="I70" i="34"/>
  <c r="I86" i="34" s="1"/>
  <c r="L209" i="2"/>
  <c r="G69" i="34"/>
  <c r="G85" i="34" s="1"/>
  <c r="E22" i="13"/>
  <c r="E22" i="20"/>
  <c r="F157" i="34"/>
  <c r="F173" i="34" s="1"/>
  <c r="E156" i="34"/>
  <c r="E172" i="34" s="1"/>
  <c r="I69" i="34"/>
  <c r="I85" i="34" s="1"/>
  <c r="J154" i="2"/>
  <c r="L154" i="2" s="1"/>
  <c r="J72" i="2"/>
  <c r="L72" i="2" s="1"/>
  <c r="D103" i="13"/>
  <c r="G102" i="13"/>
  <c r="C219" i="34"/>
  <c r="C235" i="34" s="1"/>
  <c r="B55" i="39"/>
  <c r="E69" i="11"/>
  <c r="B57" i="39"/>
  <c r="A57" i="39"/>
  <c r="E223" i="2"/>
  <c r="J153" i="34"/>
  <c r="J155" i="34" s="1"/>
  <c r="J171" i="34" s="1"/>
  <c r="J174" i="34" s="1"/>
  <c r="G51" i="11"/>
  <c r="G61" i="11" s="1"/>
  <c r="M48" i="11"/>
  <c r="J66" i="34"/>
  <c r="J68" i="34" s="1"/>
  <c r="J84" i="34" s="1"/>
  <c r="J87" i="34" s="1"/>
  <c r="G70" i="34"/>
  <c r="G86" i="34" s="1"/>
  <c r="I157" i="34"/>
  <c r="I173" i="34" s="1"/>
  <c r="C53" i="11"/>
  <c r="A42" i="5"/>
  <c r="A43" i="5" s="1"/>
  <c r="A44" i="5" s="1"/>
  <c r="A47" i="5" s="1"/>
  <c r="A49" i="5" s="1"/>
  <c r="C69" i="34"/>
  <c r="C85" i="34" s="1"/>
  <c r="C70" i="34"/>
  <c r="C86" i="34" s="1"/>
  <c r="M57" i="11"/>
  <c r="E58" i="11"/>
  <c r="A32" i="34"/>
  <c r="B32" i="34"/>
  <c r="J234" i="34"/>
  <c r="J237" i="34" s="1"/>
  <c r="G252" i="2"/>
  <c r="E88" i="2"/>
  <c r="G236" i="2"/>
  <c r="J233" i="2"/>
  <c r="B31" i="34"/>
  <c r="G235" i="34"/>
  <c r="G25" i="35"/>
  <c r="I24" i="35"/>
  <c r="A54" i="11"/>
  <c r="A55" i="11" s="1"/>
  <c r="J230" i="34"/>
  <c r="J214" i="34"/>
  <c r="J219" i="34" s="1"/>
  <c r="D36" i="5"/>
  <c r="I156" i="34"/>
  <c r="I172" i="34" s="1"/>
  <c r="J69" i="2"/>
  <c r="H75" i="13"/>
  <c r="G75" i="20"/>
  <c r="C210" i="34"/>
  <c r="C215" i="34" s="1"/>
  <c r="C220" i="34" s="1"/>
  <c r="C236" i="34" s="1"/>
  <c r="J207" i="34"/>
  <c r="B36" i="2"/>
  <c r="B39" i="2" s="1"/>
  <c r="B41" i="2" s="1"/>
  <c r="B21" i="2"/>
  <c r="F104" i="20"/>
  <c r="D105" i="20" s="1"/>
  <c r="J213" i="2" l="1"/>
  <c r="L213" i="2" s="1"/>
  <c r="J143" i="2"/>
  <c r="L143" i="2" s="1"/>
  <c r="J144" i="2"/>
  <c r="L144" i="2" s="1"/>
  <c r="J134" i="2"/>
  <c r="J101" i="2" s="1"/>
  <c r="L101" i="2" s="1"/>
  <c r="G76" i="20"/>
  <c r="G77" i="20" s="1"/>
  <c r="G78" i="20" s="1"/>
  <c r="G79" i="20" s="1"/>
  <c r="D97" i="20" s="1"/>
  <c r="G59" i="20"/>
  <c r="F59" i="13"/>
  <c r="H76" i="13"/>
  <c r="H77" i="13" s="1"/>
  <c r="H78" i="13" s="1"/>
  <c r="H79" i="13" s="1"/>
  <c r="D96" i="13" s="1"/>
  <c r="C55" i="11"/>
  <c r="J69" i="34"/>
  <c r="J85" i="34" s="1"/>
  <c r="J70" i="34"/>
  <c r="J86" i="34" s="1"/>
  <c r="J210" i="34"/>
  <c r="J215" i="34" s="1"/>
  <c r="J220" i="34" s="1"/>
  <c r="L246" i="2"/>
  <c r="L249" i="2" s="1"/>
  <c r="E89" i="2"/>
  <c r="A60" i="39"/>
  <c r="A63" i="39" s="1"/>
  <c r="A64" i="39" s="1"/>
  <c r="A65" i="39" s="1"/>
  <c r="A66" i="39" s="1"/>
  <c r="A68" i="39" s="1"/>
  <c r="D233" i="2"/>
  <c r="G63" i="11"/>
  <c r="M61" i="11"/>
  <c r="C56" i="11"/>
  <c r="A56" i="11"/>
  <c r="E21" i="20"/>
  <c r="E21" i="13"/>
  <c r="A34" i="34"/>
  <c r="M51" i="11"/>
  <c r="G53" i="11"/>
  <c r="G253" i="2"/>
  <c r="J235" i="34"/>
  <c r="A50" i="5"/>
  <c r="A51" i="5" s="1"/>
  <c r="D44" i="5"/>
  <c r="H235" i="2"/>
  <c r="H234" i="2"/>
  <c r="H233" i="2"/>
  <c r="E59" i="11"/>
  <c r="J157" i="34"/>
  <c r="J173" i="34" s="1"/>
  <c r="E105" i="20"/>
  <c r="F105" i="20" s="1"/>
  <c r="D106" i="20" s="1"/>
  <c r="E103" i="13"/>
  <c r="L24" i="35"/>
  <c r="J156" i="34"/>
  <c r="J172" i="34" s="1"/>
  <c r="B42" i="2"/>
  <c r="G26" i="35"/>
  <c r="I25" i="35"/>
  <c r="L25" i="35" s="1"/>
  <c r="H252" i="2"/>
  <c r="J252" i="2" s="1"/>
  <c r="L252" i="2" s="1"/>
  <c r="L255" i="2" s="1"/>
  <c r="L217" i="2" l="1"/>
  <c r="L219" i="2" s="1"/>
  <c r="I234" i="2"/>
  <c r="D22" i="20" s="1"/>
  <c r="F22" i="20" s="1"/>
  <c r="J64" i="2"/>
  <c r="L64" i="2" s="1"/>
  <c r="L134" i="2"/>
  <c r="D51" i="5"/>
  <c r="H236" i="2"/>
  <c r="J236" i="34"/>
  <c r="G254" i="2"/>
  <c r="G55" i="11"/>
  <c r="G58" i="11" s="1"/>
  <c r="M58" i="11" s="1"/>
  <c r="M53" i="11"/>
  <c r="L253" i="2"/>
  <c r="H253" i="2"/>
  <c r="G27" i="35"/>
  <c r="I26" i="35"/>
  <c r="F103" i="13"/>
  <c r="I235" i="2"/>
  <c r="L233" i="2" s="1"/>
  <c r="I233" i="2"/>
  <c r="L235" i="2"/>
  <c r="G65" i="11"/>
  <c r="G68" i="11" s="1"/>
  <c r="M68" i="11" s="1"/>
  <c r="M63" i="11"/>
  <c r="E106" i="20"/>
  <c r="F106" i="20" s="1"/>
  <c r="D107" i="20" s="1"/>
  <c r="A35" i="34"/>
  <c r="B43" i="2"/>
  <c r="B45" i="2" s="1"/>
  <c r="B63" i="2" s="1"/>
  <c r="A52" i="5"/>
  <c r="E90" i="2" s="1"/>
  <c r="A74" i="39"/>
  <c r="A75" i="39" s="1"/>
  <c r="B50" i="39"/>
  <c r="A57" i="11"/>
  <c r="C57" i="11"/>
  <c r="J155" i="2" l="1"/>
  <c r="L155" i="2" s="1"/>
  <c r="J141" i="2"/>
  <c r="L141" i="2" s="1"/>
  <c r="J161" i="2"/>
  <c r="L161" i="2" s="1"/>
  <c r="J66" i="2"/>
  <c r="L66" i="2" s="1"/>
  <c r="J156" i="2"/>
  <c r="L156" i="2" s="1"/>
  <c r="J74" i="2"/>
  <c r="L74" i="2" s="1"/>
  <c r="J146" i="2"/>
  <c r="L146" i="2" s="1"/>
  <c r="J104" i="2"/>
  <c r="L104" i="2" s="1"/>
  <c r="J97" i="2"/>
  <c r="L97" i="2" s="1"/>
  <c r="J65" i="2"/>
  <c r="L65" i="2" s="1"/>
  <c r="J102" i="2"/>
  <c r="L102" i="2" s="1"/>
  <c r="J67" i="2"/>
  <c r="L67" i="2" s="1"/>
  <c r="J73" i="2"/>
  <c r="L73" i="2" s="1"/>
  <c r="J75" i="2"/>
  <c r="L75" i="2" s="1"/>
  <c r="D22" i="13"/>
  <c r="F22" i="13" s="1"/>
  <c r="L234" i="2"/>
  <c r="L236" i="2" s="1"/>
  <c r="L100" i="2"/>
  <c r="L79" i="2"/>
  <c r="E107" i="20"/>
  <c r="F107" i="20" s="1"/>
  <c r="D108" i="20" s="1"/>
  <c r="D306" i="2"/>
  <c r="A36" i="34"/>
  <c r="A37" i="34" s="1"/>
  <c r="D21" i="13"/>
  <c r="F21" i="13" s="1"/>
  <c r="D21" i="20"/>
  <c r="F21" i="20" s="1"/>
  <c r="L254" i="2"/>
  <c r="H254" i="2"/>
  <c r="C75" i="20"/>
  <c r="C75" i="13"/>
  <c r="B64" i="2"/>
  <c r="B65" i="2" s="1"/>
  <c r="E204" i="2"/>
  <c r="D23" i="13"/>
  <c r="F23" i="13" s="1"/>
  <c r="D23" i="20"/>
  <c r="F23" i="20" s="1"/>
  <c r="E45" i="2"/>
  <c r="D104" i="13"/>
  <c r="G103" i="13"/>
  <c r="L26" i="35"/>
  <c r="E224" i="2"/>
  <c r="A76" i="39"/>
  <c r="B76" i="39"/>
  <c r="A58" i="11"/>
  <c r="C58" i="11"/>
  <c r="I27" i="35"/>
  <c r="L27" i="35" s="1"/>
  <c r="G28" i="35"/>
  <c r="L68" i="2" l="1"/>
  <c r="J68" i="2" s="1"/>
  <c r="J142" i="2" s="1"/>
  <c r="L142" i="2" s="1"/>
  <c r="L76" i="2"/>
  <c r="L80" i="2"/>
  <c r="F64" i="13"/>
  <c r="L157" i="2"/>
  <c r="L81" i="2"/>
  <c r="G64" i="20"/>
  <c r="F24" i="20"/>
  <c r="F29" i="20" s="1"/>
  <c r="F24" i="13"/>
  <c r="E29" i="13" s="1"/>
  <c r="E108" i="20"/>
  <c r="F108" i="20" s="1"/>
  <c r="D109" i="20" s="1"/>
  <c r="E104" i="13"/>
  <c r="F104" i="13" s="1"/>
  <c r="A38" i="34"/>
  <c r="B38" i="34"/>
  <c r="C59" i="11"/>
  <c r="A59" i="11"/>
  <c r="A61" i="11" s="1"/>
  <c r="A62" i="11" s="1"/>
  <c r="A63" i="11" s="1"/>
  <c r="B66" i="2"/>
  <c r="B67" i="2" s="1"/>
  <c r="B37" i="34"/>
  <c r="I28" i="35"/>
  <c r="L28" i="35" s="1"/>
  <c r="G29" i="35"/>
  <c r="G170" i="2"/>
  <c r="J165" i="2" l="1"/>
  <c r="L165" i="2" s="1"/>
  <c r="L166" i="2" s="1"/>
  <c r="J105" i="2"/>
  <c r="L105" i="2" s="1"/>
  <c r="J103" i="2"/>
  <c r="L103" i="2" s="1"/>
  <c r="L82" i="2"/>
  <c r="J82" i="2" s="1"/>
  <c r="L147" i="2"/>
  <c r="L149" i="2" s="1"/>
  <c r="D105" i="13"/>
  <c r="G104" i="13"/>
  <c r="E109" i="20"/>
  <c r="F109" i="20" s="1"/>
  <c r="D110" i="20" s="1"/>
  <c r="A40" i="34"/>
  <c r="G30" i="35"/>
  <c r="I29" i="35"/>
  <c r="L29" i="35" s="1"/>
  <c r="F35" i="20"/>
  <c r="E35" i="13"/>
  <c r="G189" i="2"/>
  <c r="L189" i="2"/>
  <c r="B68" i="2"/>
  <c r="B70" i="2" s="1"/>
  <c r="B71" i="2" s="1"/>
  <c r="E68" i="2"/>
  <c r="A64" i="11"/>
  <c r="A65" i="11" s="1"/>
  <c r="L108" i="2" l="1"/>
  <c r="L151" i="2"/>
  <c r="J176" i="2"/>
  <c r="L176" i="2" s="1"/>
  <c r="J178" i="2"/>
  <c r="L178" i="2" s="1"/>
  <c r="J175" i="2"/>
  <c r="L175" i="2" s="1"/>
  <c r="C66" i="11"/>
  <c r="A66" i="11"/>
  <c r="A67" i="11" s="1"/>
  <c r="B72" i="2"/>
  <c r="B73" i="2" s="1"/>
  <c r="A41" i="34"/>
  <c r="C65" i="11"/>
  <c r="E110" i="20"/>
  <c r="F110" i="20" s="1"/>
  <c r="D111" i="20" s="1"/>
  <c r="G31" i="35"/>
  <c r="I30" i="35"/>
  <c r="L30" i="35" s="1"/>
  <c r="E105" i="13"/>
  <c r="F105" i="13" s="1"/>
  <c r="E37" i="13" l="1"/>
  <c r="F37" i="20"/>
  <c r="L180" i="2"/>
  <c r="L179" i="2"/>
  <c r="E79" i="2"/>
  <c r="D106" i="13"/>
  <c r="G105" i="13"/>
  <c r="E111" i="20"/>
  <c r="F111" i="20" s="1"/>
  <c r="D112" i="20" s="1"/>
  <c r="B74" i="2"/>
  <c r="B75" i="2" s="1"/>
  <c r="A68" i="11"/>
  <c r="C67" i="11"/>
  <c r="C68" i="11"/>
  <c r="G32" i="35"/>
  <c r="I31" i="35"/>
  <c r="L31" i="35" s="1"/>
  <c r="A42" i="34"/>
  <c r="A43" i="34" s="1"/>
  <c r="E39" i="13" l="1"/>
  <c r="F39" i="20"/>
  <c r="F38" i="20"/>
  <c r="E38" i="13"/>
  <c r="E80" i="2"/>
  <c r="E112" i="20"/>
  <c r="F112" i="20" s="1"/>
  <c r="D113" i="20" s="1"/>
  <c r="B76" i="2"/>
  <c r="B78" i="2" s="1"/>
  <c r="B79" i="2" s="1"/>
  <c r="E81" i="2"/>
  <c r="E76" i="2"/>
  <c r="A44" i="34"/>
  <c r="B44" i="34"/>
  <c r="B43" i="34"/>
  <c r="G36" i="35"/>
  <c r="I32" i="35"/>
  <c r="G39" i="35"/>
  <c r="C69" i="11"/>
  <c r="A69" i="11"/>
  <c r="E106" i="13"/>
  <c r="F106" i="13" s="1"/>
  <c r="D107" i="13" l="1"/>
  <c r="G106" i="13"/>
  <c r="L32" i="35"/>
  <c r="L33" i="35" s="1"/>
  <c r="E36" i="35" s="1"/>
  <c r="I33" i="35"/>
  <c r="C64" i="13"/>
  <c r="B80" i="2"/>
  <c r="B81" i="2" s="1"/>
  <c r="B82" i="2" s="1"/>
  <c r="C48" i="11" s="1"/>
  <c r="C64" i="20"/>
  <c r="A46" i="34"/>
  <c r="E113" i="20"/>
  <c r="F113" i="20" s="1"/>
  <c r="G40" i="35"/>
  <c r="D114" i="20" l="1"/>
  <c r="A47" i="34"/>
  <c r="E82" i="2"/>
  <c r="G41" i="35"/>
  <c r="I36" i="35"/>
  <c r="L36" i="35" s="1"/>
  <c r="B85" i="2"/>
  <c r="B86" i="2" s="1"/>
  <c r="E107" i="13"/>
  <c r="F107" i="13" s="1"/>
  <c r="D108" i="13" l="1"/>
  <c r="E108" i="13" s="1"/>
  <c r="F108" i="13" s="1"/>
  <c r="G107" i="13"/>
  <c r="E39" i="35"/>
  <c r="J39" i="35"/>
  <c r="G42" i="35"/>
  <c r="A48" i="34"/>
  <c r="A49" i="34" s="1"/>
  <c r="B87" i="2"/>
  <c r="B88" i="2" s="1"/>
  <c r="B89" i="2" s="1"/>
  <c r="B90" i="2" s="1"/>
  <c r="B91" i="2" s="1"/>
  <c r="E114" i="20"/>
  <c r="F114" i="20" s="1"/>
  <c r="B49" i="34" l="1"/>
  <c r="D109" i="13"/>
  <c r="G108" i="13"/>
  <c r="A50" i="34"/>
  <c r="B52" i="34"/>
  <c r="B50" i="34"/>
  <c r="G43" i="35"/>
  <c r="E91" i="2"/>
  <c r="D115" i="20"/>
  <c r="J40" i="35"/>
  <c r="J41" i="35" s="1"/>
  <c r="J42" i="35" s="1"/>
  <c r="J43" i="35" s="1"/>
  <c r="J44" i="35" s="1"/>
  <c r="J45" i="35" s="1"/>
  <c r="J46" i="35" s="1"/>
  <c r="J47" i="35" s="1"/>
  <c r="J48" i="35" s="1"/>
  <c r="J49" i="35" s="1"/>
  <c r="J50" i="35" s="1"/>
  <c r="B93" i="2"/>
  <c r="B95" i="2" s="1"/>
  <c r="B97" i="2" s="1"/>
  <c r="B99" i="2" s="1"/>
  <c r="B100" i="2" s="1"/>
  <c r="L39" i="35"/>
  <c r="E40" i="35" s="1"/>
  <c r="I39" i="35"/>
  <c r="J53" i="35" l="1"/>
  <c r="J55" i="35" s="1"/>
  <c r="B101" i="2"/>
  <c r="B102" i="2" s="1"/>
  <c r="B103" i="2" s="1"/>
  <c r="B104" i="2" s="1"/>
  <c r="B105" i="2" s="1"/>
  <c r="B106" i="2" s="1"/>
  <c r="B107" i="2" s="1"/>
  <c r="B108" i="2" s="1"/>
  <c r="B110" i="2" s="1"/>
  <c r="G44" i="35"/>
  <c r="A52" i="34"/>
  <c r="B53" i="34"/>
  <c r="E115" i="20"/>
  <c r="F115" i="20" s="1"/>
  <c r="L40" i="35"/>
  <c r="E41" i="35" s="1"/>
  <c r="I40" i="35"/>
  <c r="E109" i="13"/>
  <c r="F109" i="13" s="1"/>
  <c r="D110" i="13" s="1"/>
  <c r="D116" i="20" l="1"/>
  <c r="E116" i="20" s="1"/>
  <c r="F116" i="20" s="1"/>
  <c r="E110" i="13"/>
  <c r="F110" i="13" s="1"/>
  <c r="B64" i="34"/>
  <c r="A53" i="34"/>
  <c r="B57" i="34"/>
  <c r="G109" i="13"/>
  <c r="G45" i="35"/>
  <c r="L41" i="35"/>
  <c r="E42" i="35" s="1"/>
  <c r="I41" i="35"/>
  <c r="D112" i="2"/>
  <c r="E108" i="2"/>
  <c r="D302" i="2"/>
  <c r="B112" i="2"/>
  <c r="D117" i="20" l="1"/>
  <c r="D111" i="13"/>
  <c r="G110" i="13"/>
  <c r="L42" i="35"/>
  <c r="E43" i="35" s="1"/>
  <c r="I42" i="35"/>
  <c r="B203" i="34"/>
  <c r="A56" i="34"/>
  <c r="B80" i="34"/>
  <c r="G46" i="35"/>
  <c r="B127" i="2"/>
  <c r="C28" i="20"/>
  <c r="C28" i="13"/>
  <c r="B128" i="2" l="1"/>
  <c r="B129" i="2" s="1"/>
  <c r="E130" i="2" s="1"/>
  <c r="L43" i="35"/>
  <c r="E44" i="35" s="1"/>
  <c r="I43" i="35"/>
  <c r="G47" i="35"/>
  <c r="E111" i="13"/>
  <c r="F111" i="13" s="1"/>
  <c r="A57" i="34"/>
  <c r="A58" i="34" s="1"/>
  <c r="E117" i="20"/>
  <c r="F117" i="20" s="1"/>
  <c r="D118" i="20" l="1"/>
  <c r="E118" i="20" s="1"/>
  <c r="F118" i="20" s="1"/>
  <c r="D119" i="20" s="1"/>
  <c r="D112" i="13"/>
  <c r="G111" i="13"/>
  <c r="G48" i="35"/>
  <c r="L44" i="35"/>
  <c r="E45" i="35" s="1"/>
  <c r="I44" i="35"/>
  <c r="A59" i="34"/>
  <c r="B130" i="2"/>
  <c r="B131" i="2" s="1"/>
  <c r="E119" i="20" l="1"/>
  <c r="F119" i="20" s="1"/>
  <c r="L45" i="35"/>
  <c r="E46" i="35" s="1"/>
  <c r="I45" i="35"/>
  <c r="A60" i="34"/>
  <c r="G49" i="35"/>
  <c r="E41" i="2"/>
  <c r="B132" i="2"/>
  <c r="D297" i="2"/>
  <c r="E112" i="13"/>
  <c r="F112" i="13" s="1"/>
  <c r="D120" i="20" l="1"/>
  <c r="E120" i="20" s="1"/>
  <c r="D113" i="13"/>
  <c r="G112" i="13"/>
  <c r="A63" i="34"/>
  <c r="B65" i="34"/>
  <c r="B133" i="2"/>
  <c r="G50" i="35"/>
  <c r="L46" i="35"/>
  <c r="E47" i="35" s="1"/>
  <c r="I46" i="35"/>
  <c r="F120" i="20" l="1"/>
  <c r="D121" i="20" s="1"/>
  <c r="E121" i="20" s="1"/>
  <c r="F121" i="20" s="1"/>
  <c r="B134" i="2"/>
  <c r="D299" i="2"/>
  <c r="L47" i="35"/>
  <c r="E48" i="35" s="1"/>
  <c r="I47" i="35"/>
  <c r="A64" i="34"/>
  <c r="E134" i="2"/>
  <c r="E113" i="13"/>
  <c r="F113" i="13" s="1"/>
  <c r="D114" i="13" s="1"/>
  <c r="D122" i="20" l="1"/>
  <c r="E122" i="20" s="1"/>
  <c r="A65" i="34"/>
  <c r="G113" i="13"/>
  <c r="L48" i="35"/>
  <c r="E49" i="35" s="1"/>
  <c r="I48" i="35"/>
  <c r="E114" i="13"/>
  <c r="F114" i="13" s="1"/>
  <c r="D115" i="13" s="1"/>
  <c r="B136" i="2"/>
  <c r="E100" i="2"/>
  <c r="D296" i="2"/>
  <c r="F122" i="20" l="1"/>
  <c r="D123" i="20" s="1"/>
  <c r="E123" i="20" s="1"/>
  <c r="L49" i="35"/>
  <c r="E50" i="35" s="1"/>
  <c r="I49" i="35"/>
  <c r="E115" i="13"/>
  <c r="F115" i="13" s="1"/>
  <c r="A66" i="34"/>
  <c r="B70" i="34" s="1"/>
  <c r="B137" i="2"/>
  <c r="G114" i="13"/>
  <c r="F123" i="20" l="1"/>
  <c r="D124" i="20" s="1"/>
  <c r="E124" i="20" s="1"/>
  <c r="F124" i="20" s="1"/>
  <c r="D116" i="13"/>
  <c r="G115" i="13"/>
  <c r="B138" i="2"/>
  <c r="B139" i="2" s="1"/>
  <c r="B140" i="2" s="1"/>
  <c r="B141" i="2" s="1"/>
  <c r="E142" i="2"/>
  <c r="A68" i="34"/>
  <c r="B68" i="34"/>
  <c r="B69" i="34"/>
  <c r="L50" i="35"/>
  <c r="I50" i="35"/>
  <c r="I51" i="35" s="1"/>
  <c r="E141" i="2" l="1"/>
  <c r="D125" i="20"/>
  <c r="B142" i="2"/>
  <c r="B143" i="2" s="1"/>
  <c r="B144" i="2" s="1"/>
  <c r="B145" i="2" s="1"/>
  <c r="B146" i="2" s="1"/>
  <c r="B147" i="2" s="1"/>
  <c r="A69" i="34"/>
  <c r="E116" i="13"/>
  <c r="F116" i="13" s="1"/>
  <c r="D117" i="13" l="1"/>
  <c r="G116" i="13"/>
  <c r="B149" i="2"/>
  <c r="D300" i="2"/>
  <c r="E149" i="2"/>
  <c r="E147" i="2"/>
  <c r="A70" i="34"/>
  <c r="E125" i="20"/>
  <c r="F125" i="20" s="1"/>
  <c r="D126" i="20" l="1"/>
  <c r="B150" i="2"/>
  <c r="E151" i="2" s="1"/>
  <c r="A72" i="34"/>
  <c r="A74" i="34" s="1"/>
  <c r="A75" i="34" s="1"/>
  <c r="A76" i="34" s="1"/>
  <c r="A79" i="34" s="1"/>
  <c r="E117" i="13"/>
  <c r="F117" i="13" s="1"/>
  <c r="D118" i="13" l="1"/>
  <c r="G117" i="13"/>
  <c r="A80" i="34"/>
  <c r="B84" i="34"/>
  <c r="D315" i="2"/>
  <c r="C48" i="20"/>
  <c r="B151" i="2"/>
  <c r="E27" i="2"/>
  <c r="C48" i="13"/>
  <c r="D313" i="2"/>
  <c r="D310" i="2"/>
  <c r="E126" i="20"/>
  <c r="F126" i="20" s="1"/>
  <c r="D127" i="20" s="1"/>
  <c r="E127" i="20" l="1"/>
  <c r="F127" i="20" s="1"/>
  <c r="B153" i="2"/>
  <c r="B154" i="2" s="1"/>
  <c r="A81" i="34"/>
  <c r="B85" i="34"/>
  <c r="E118" i="13"/>
  <c r="F118" i="13" s="1"/>
  <c r="D119" i="13" l="1"/>
  <c r="G118" i="13"/>
  <c r="D128" i="20"/>
  <c r="A84" i="34"/>
  <c r="A85" i="34" s="1"/>
  <c r="A86" i="34" s="1"/>
  <c r="A87" i="34" s="1"/>
  <c r="A96" i="34" s="1"/>
  <c r="B86" i="34"/>
  <c r="C76" i="13"/>
  <c r="C76" i="20"/>
  <c r="C59" i="13"/>
  <c r="C59" i="20"/>
  <c r="B155" i="2"/>
  <c r="B156" i="2" s="1"/>
  <c r="B157" i="2" s="1"/>
  <c r="E31" i="2"/>
  <c r="E157" i="2" l="1"/>
  <c r="B183" i="34"/>
  <c r="A97" i="34"/>
  <c r="B159" i="2"/>
  <c r="B160" i="2" s="1"/>
  <c r="B161" i="2" s="1"/>
  <c r="E128" i="20"/>
  <c r="F128" i="20" s="1"/>
  <c r="E119" i="13"/>
  <c r="F119" i="13" s="1"/>
  <c r="D129" i="20" l="1"/>
  <c r="D120" i="13"/>
  <c r="G119" i="13"/>
  <c r="B162" i="2"/>
  <c r="B163" i="2" s="1"/>
  <c r="B164" i="2" s="1"/>
  <c r="B165" i="2" s="1"/>
  <c r="B166" i="2" s="1"/>
  <c r="B184" i="34"/>
  <c r="A98" i="34"/>
  <c r="E166" i="2" l="1"/>
  <c r="B168" i="2"/>
  <c r="B169" i="2" s="1"/>
  <c r="E120" i="13"/>
  <c r="F120" i="13" s="1"/>
  <c r="A99" i="34"/>
  <c r="B185" i="34"/>
  <c r="E129" i="20"/>
  <c r="F129" i="20" s="1"/>
  <c r="D130" i="20" l="1"/>
  <c r="E130" i="20" s="1"/>
  <c r="F130" i="20" s="1"/>
  <c r="D121" i="13"/>
  <c r="G120" i="13"/>
  <c r="A100" i="34"/>
  <c r="A101" i="34" s="1"/>
  <c r="B186" i="34"/>
  <c r="B170" i="2"/>
  <c r="D173" i="2"/>
  <c r="D131" i="20" l="1"/>
  <c r="B150" i="34"/>
  <c r="A103" i="34"/>
  <c r="C35" i="13"/>
  <c r="B171" i="2"/>
  <c r="B172" i="2" s="1"/>
  <c r="B173" i="2" s="1"/>
  <c r="C35" i="20"/>
  <c r="E121" i="13"/>
  <c r="F121" i="13" s="1"/>
  <c r="D122" i="13" l="1"/>
  <c r="G121" i="13"/>
  <c r="A106" i="34"/>
  <c r="A107" i="34" s="1"/>
  <c r="A108" i="34" s="1"/>
  <c r="A109" i="34" s="1"/>
  <c r="A110" i="34" s="1"/>
  <c r="A111" i="34" s="1"/>
  <c r="A112" i="34" s="1"/>
  <c r="B100" i="34"/>
  <c r="B174" i="2"/>
  <c r="E178" i="2" s="1"/>
  <c r="E131" i="20"/>
  <c r="F131" i="20" s="1"/>
  <c r="D132" i="20" l="1"/>
  <c r="D340" i="2"/>
  <c r="B175" i="2"/>
  <c r="B166" i="34"/>
  <c r="A115" i="34"/>
  <c r="E122" i="13"/>
  <c r="F122" i="13" s="1"/>
  <c r="D123" i="13" l="1"/>
  <c r="G122" i="13"/>
  <c r="B176" i="2"/>
  <c r="E179" i="2"/>
  <c r="A116" i="34"/>
  <c r="E132" i="20"/>
  <c r="F132" i="20" s="1"/>
  <c r="D133" i="20" l="1"/>
  <c r="A117" i="34"/>
  <c r="A118" i="34" s="1"/>
  <c r="B177" i="2"/>
  <c r="E180" i="2"/>
  <c r="E123" i="13"/>
  <c r="F123" i="13" s="1"/>
  <c r="D124" i="13" s="1"/>
  <c r="B118" i="34" l="1"/>
  <c r="A119" i="34"/>
  <c r="B119" i="34"/>
  <c r="E124" i="13"/>
  <c r="F124" i="13" s="1"/>
  <c r="D125" i="13" s="1"/>
  <c r="B178" i="2"/>
  <c r="B179" i="2" s="1"/>
  <c r="B180" i="2" s="1"/>
  <c r="B181" i="2" s="1"/>
  <c r="G123" i="13"/>
  <c r="E133" i="20"/>
  <c r="F133" i="20" s="1"/>
  <c r="D134" i="20" l="1"/>
  <c r="E125" i="13"/>
  <c r="F125" i="13" s="1"/>
  <c r="D126" i="13" s="1"/>
  <c r="A121" i="34"/>
  <c r="E181" i="2"/>
  <c r="G124" i="13"/>
  <c r="B183" i="2"/>
  <c r="E34" i="2" s="1"/>
  <c r="C50" i="13"/>
  <c r="C50" i="20"/>
  <c r="G125" i="13" l="1"/>
  <c r="C49" i="20"/>
  <c r="B185" i="2"/>
  <c r="C49" i="13"/>
  <c r="E177" i="2"/>
  <c r="E126" i="13"/>
  <c r="F126" i="13" s="1"/>
  <c r="D127" i="13" s="1"/>
  <c r="A122" i="34"/>
  <c r="E134" i="20"/>
  <c r="F134" i="20" s="1"/>
  <c r="D135" i="20" l="1"/>
  <c r="E127" i="13"/>
  <c r="F127" i="13" s="1"/>
  <c r="D128" i="13" s="1"/>
  <c r="A123" i="34"/>
  <c r="A124" i="34" s="1"/>
  <c r="B187" i="2"/>
  <c r="D304" i="2"/>
  <c r="G126" i="13"/>
  <c r="B124" i="34" l="1"/>
  <c r="A125" i="34"/>
  <c r="B125" i="34"/>
  <c r="E128" i="13"/>
  <c r="F128" i="13" s="1"/>
  <c r="G127" i="13"/>
  <c r="B189" i="2"/>
  <c r="B191" i="2" s="1"/>
  <c r="D189" i="2"/>
  <c r="E135" i="20"/>
  <c r="F135" i="20" s="1"/>
  <c r="D136" i="20" s="1"/>
  <c r="D192" i="2" l="1"/>
  <c r="D129" i="13"/>
  <c r="G128" i="13"/>
  <c r="E136" i="20"/>
  <c r="F136" i="20" s="1"/>
  <c r="D137" i="20" s="1"/>
  <c r="E13" i="2"/>
  <c r="B204" i="2"/>
  <c r="A127" i="34"/>
  <c r="A128" i="34" l="1"/>
  <c r="B205" i="2"/>
  <c r="B206" i="2" s="1"/>
  <c r="B207" i="2" s="1"/>
  <c r="E137" i="20"/>
  <c r="F137" i="20" s="1"/>
  <c r="D138" i="20" s="1"/>
  <c r="E129" i="13"/>
  <c r="F129" i="13" s="1"/>
  <c r="E207" i="2" l="1"/>
  <c r="D130" i="13"/>
  <c r="E130" i="13" s="1"/>
  <c r="F130" i="13" s="1"/>
  <c r="G129" i="13"/>
  <c r="B209" i="2"/>
  <c r="B211" i="2" s="1"/>
  <c r="B212" i="2" s="1"/>
  <c r="B213" i="2" s="1"/>
  <c r="E209" i="2"/>
  <c r="E63" i="2"/>
  <c r="A129" i="34"/>
  <c r="A130" i="34" s="1"/>
  <c r="E138" i="20"/>
  <c r="F138" i="20" s="1"/>
  <c r="B130" i="34" l="1"/>
  <c r="D139" i="20"/>
  <c r="D131" i="13"/>
  <c r="G130" i="13"/>
  <c r="B214" i="2"/>
  <c r="B215" i="2" s="1"/>
  <c r="B216" i="2" s="1"/>
  <c r="B217" i="2" s="1"/>
  <c r="B219" i="2" s="1"/>
  <c r="B222" i="2" s="1"/>
  <c r="B223" i="2" s="1"/>
  <c r="B224" i="2" s="1"/>
  <c r="B225" i="2" s="1"/>
  <c r="B226" i="2" s="1"/>
  <c r="A131" i="34"/>
  <c r="B131" i="34"/>
  <c r="B227" i="2" l="1"/>
  <c r="E131" i="13"/>
  <c r="F131" i="13" s="1"/>
  <c r="D132" i="13" s="1"/>
  <c r="A133" i="34"/>
  <c r="E217" i="2"/>
  <c r="E139" i="20"/>
  <c r="F139" i="20" s="1"/>
  <c r="D140" i="20" l="1"/>
  <c r="G131" i="13"/>
  <c r="A134" i="34"/>
  <c r="E132" i="13"/>
  <c r="F132" i="13" s="1"/>
  <c r="D133" i="13" s="1"/>
  <c r="B228" i="2"/>
  <c r="D234" i="2"/>
  <c r="E133" i="13" l="1"/>
  <c r="F133" i="13" s="1"/>
  <c r="D134" i="13" s="1"/>
  <c r="A135" i="34"/>
  <c r="A136" i="34" s="1"/>
  <c r="B229" i="2"/>
  <c r="B230" i="2" s="1"/>
  <c r="G132" i="13"/>
  <c r="E140" i="20"/>
  <c r="F140" i="20" s="1"/>
  <c r="D141" i="20" l="1"/>
  <c r="D235" i="2"/>
  <c r="B233" i="2"/>
  <c r="B136" i="34"/>
  <c r="E134" i="13"/>
  <c r="F134" i="13" s="1"/>
  <c r="D135" i="13" s="1"/>
  <c r="G133" i="13"/>
  <c r="A137" i="34"/>
  <c r="B139" i="34"/>
  <c r="B137" i="34"/>
  <c r="E230" i="2"/>
  <c r="G134" i="13" l="1"/>
  <c r="E135" i="13"/>
  <c r="F135" i="13" s="1"/>
  <c r="A139" i="34"/>
  <c r="B140" i="34"/>
  <c r="B234" i="2"/>
  <c r="B235" i="2" s="1"/>
  <c r="E141" i="20"/>
  <c r="F141" i="20" s="1"/>
  <c r="D142" i="20" l="1"/>
  <c r="D136" i="13"/>
  <c r="G135" i="13"/>
  <c r="C16" i="20"/>
  <c r="B236" i="2"/>
  <c r="C16" i="13"/>
  <c r="D236" i="2"/>
  <c r="C19" i="20"/>
  <c r="A140" i="34"/>
  <c r="B144" i="34"/>
  <c r="B151" i="34"/>
  <c r="B202" i="34"/>
  <c r="C19" i="13"/>
  <c r="B238" i="2" l="1"/>
  <c r="B241" i="2" s="1"/>
  <c r="B242" i="2" s="1"/>
  <c r="B243" i="2" s="1"/>
  <c r="B244" i="2" s="1"/>
  <c r="B245" i="2" s="1"/>
  <c r="E183" i="2"/>
  <c r="D171" i="2"/>
  <c r="E136" i="13"/>
  <c r="F136" i="13" s="1"/>
  <c r="A143" i="34"/>
  <c r="B167" i="34"/>
  <c r="E142" i="20"/>
  <c r="F142" i="20" s="1"/>
  <c r="D143" i="20" l="1"/>
  <c r="E143" i="20" s="1"/>
  <c r="F143" i="20" s="1"/>
  <c r="D144" i="20" s="1"/>
  <c r="D137" i="13"/>
  <c r="G136" i="13"/>
  <c r="B246" i="2"/>
  <c r="B247" i="2" s="1"/>
  <c r="A144" i="34"/>
  <c r="A145" i="34" s="1"/>
  <c r="B206" i="34"/>
  <c r="E144" i="20" l="1"/>
  <c r="F144" i="20" s="1"/>
  <c r="A146" i="34"/>
  <c r="B208" i="34"/>
  <c r="E137" i="13"/>
  <c r="F137" i="13" s="1"/>
  <c r="D145" i="20" l="1"/>
  <c r="E145" i="20" s="1"/>
  <c r="F145" i="20" s="1"/>
  <c r="D138" i="13"/>
  <c r="G137" i="13"/>
  <c r="A147" i="34"/>
  <c r="B209" i="34"/>
  <c r="D146" i="20" l="1"/>
  <c r="B152" i="34"/>
  <c r="A150" i="34"/>
  <c r="E138" i="13"/>
  <c r="F138" i="13" s="1"/>
  <c r="D139" i="13" l="1"/>
  <c r="G138" i="13"/>
  <c r="A151" i="34"/>
  <c r="E146" i="20"/>
  <c r="F146" i="20" s="1"/>
  <c r="D147" i="20" l="1"/>
  <c r="A152" i="34"/>
  <c r="E139" i="13"/>
  <c r="F139" i="13" s="1"/>
  <c r="D140" i="13" s="1"/>
  <c r="A153" i="34" l="1"/>
  <c r="B157" i="34" s="1"/>
  <c r="E140" i="13"/>
  <c r="F140" i="13" s="1"/>
  <c r="G139" i="13"/>
  <c r="E147" i="20"/>
  <c r="F147" i="20" s="1"/>
  <c r="D148" i="20" l="1"/>
  <c r="D141" i="13"/>
  <c r="G140" i="13"/>
  <c r="A155" i="34"/>
  <c r="B155" i="34"/>
  <c r="B156" i="34"/>
  <c r="E141" i="13" l="1"/>
  <c r="F141" i="13" s="1"/>
  <c r="D142" i="13" s="1"/>
  <c r="A156" i="34"/>
  <c r="E148" i="20"/>
  <c r="F148" i="20" s="1"/>
  <c r="D149" i="20" s="1"/>
  <c r="G141" i="13" l="1"/>
  <c r="E142" i="13"/>
  <c r="F142" i="13" s="1"/>
  <c r="E149" i="20"/>
  <c r="F149" i="20" s="1"/>
  <c r="D150" i="20" s="1"/>
  <c r="A157" i="34"/>
  <c r="D143" i="13" l="1"/>
  <c r="E143" i="13" s="1"/>
  <c r="F143" i="13" s="1"/>
  <c r="G142" i="13"/>
  <c r="E150" i="20"/>
  <c r="F150" i="20" s="1"/>
  <c r="A159" i="34"/>
  <c r="A161" i="34" s="1"/>
  <c r="A162" i="34" s="1"/>
  <c r="A163" i="34" s="1"/>
  <c r="A166" i="34" s="1"/>
  <c r="D151" i="20" l="1"/>
  <c r="D144" i="13"/>
  <c r="G143" i="13"/>
  <c r="A167" i="34"/>
  <c r="B171" i="34"/>
  <c r="E144" i="13" l="1"/>
  <c r="F144" i="13" s="1"/>
  <c r="D145" i="13" s="1"/>
  <c r="A168" i="34"/>
  <c r="B172" i="34"/>
  <c r="E151" i="20"/>
  <c r="F151" i="20" s="1"/>
  <c r="D152" i="20" l="1"/>
  <c r="E145" i="13"/>
  <c r="F145" i="13" s="1"/>
  <c r="D146" i="13" s="1"/>
  <c r="A171" i="34"/>
  <c r="A172" i="34" s="1"/>
  <c r="A173" i="34" s="1"/>
  <c r="A174" i="34" s="1"/>
  <c r="A183" i="34" s="1"/>
  <c r="A184" i="34" s="1"/>
  <c r="A185" i="34" s="1"/>
  <c r="A186" i="34" s="1"/>
  <c r="A187" i="34" s="1"/>
  <c r="A188" i="34" s="1"/>
  <c r="B173" i="34"/>
  <c r="G144" i="13"/>
  <c r="B213" i="34" l="1"/>
  <c r="A190" i="34"/>
  <c r="G145" i="13"/>
  <c r="E146" i="13"/>
  <c r="F146" i="13" s="1"/>
  <c r="D147" i="13" s="1"/>
  <c r="E152" i="20"/>
  <c r="F152" i="20" s="1"/>
  <c r="D153" i="20" l="1"/>
  <c r="E147" i="13"/>
  <c r="F147" i="13" s="1"/>
  <c r="D148" i="13" s="1"/>
  <c r="G146" i="13"/>
  <c r="A193" i="34"/>
  <c r="A194" i="34" s="1"/>
  <c r="A195" i="34" s="1"/>
  <c r="A196" i="34" s="1"/>
  <c r="A197" i="34" s="1"/>
  <c r="A198" i="34" s="1"/>
  <c r="A199" i="34" s="1"/>
  <c r="B187" i="34"/>
  <c r="G147" i="13" l="1"/>
  <c r="E148" i="13"/>
  <c r="F148" i="13" s="1"/>
  <c r="E242" i="2"/>
  <c r="B229" i="34"/>
  <c r="A202" i="34"/>
  <c r="E153" i="20"/>
  <c r="F153" i="20" s="1"/>
  <c r="D154" i="20" l="1"/>
  <c r="E154" i="20" s="1"/>
  <c r="F154" i="20" s="1"/>
  <c r="D149" i="13"/>
  <c r="G148" i="13"/>
  <c r="B207" i="34"/>
  <c r="A203" i="34"/>
  <c r="B214" i="34"/>
  <c r="D155" i="20" l="1"/>
  <c r="A206" i="34"/>
  <c r="B230" i="34"/>
  <c r="E243" i="2"/>
  <c r="E149" i="13"/>
  <c r="F149" i="13" s="1"/>
  <c r="D150" i="13" s="1"/>
  <c r="E245" i="2" l="1"/>
  <c r="A207" i="34"/>
  <c r="E150" i="13"/>
  <c r="F150" i="13" s="1"/>
  <c r="G149" i="13"/>
  <c r="E155" i="20"/>
  <c r="F155" i="20" s="1"/>
  <c r="D156" i="20" s="1"/>
  <c r="D151" i="13" l="1"/>
  <c r="G150" i="13"/>
  <c r="E156" i="20"/>
  <c r="F156" i="20" s="1"/>
  <c r="A208" i="34"/>
  <c r="E246" i="2"/>
  <c r="D157" i="20" l="1"/>
  <c r="E247" i="2"/>
  <c r="A209" i="34"/>
  <c r="E151" i="13"/>
  <c r="F151" i="13" s="1"/>
  <c r="D152" i="13" l="1"/>
  <c r="G151" i="13"/>
  <c r="E248" i="2"/>
  <c r="A210" i="34"/>
  <c r="E157" i="20"/>
  <c r="F157" i="20" s="1"/>
  <c r="D158" i="20" l="1"/>
  <c r="B215" i="34"/>
  <c r="A213" i="34"/>
  <c r="E152" i="13"/>
  <c r="F152" i="13" s="1"/>
  <c r="D153" i="13" l="1"/>
  <c r="G152" i="13"/>
  <c r="D252" i="2"/>
  <c r="A214" i="34"/>
  <c r="E158" i="20"/>
  <c r="F158" i="20" s="1"/>
  <c r="D159" i="20" l="1"/>
  <c r="D253" i="2"/>
  <c r="A215" i="34"/>
  <c r="E153" i="13"/>
  <c r="F153" i="13" s="1"/>
  <c r="D154" i="13" l="1"/>
  <c r="G153" i="13"/>
  <c r="A216" i="34"/>
  <c r="D254" i="2"/>
  <c r="E159" i="20"/>
  <c r="F159" i="20" s="1"/>
  <c r="D160" i="20" l="1"/>
  <c r="D255" i="2"/>
  <c r="A218" i="34"/>
  <c r="B218" i="34"/>
  <c r="B219" i="34"/>
  <c r="B220" i="34"/>
  <c r="E154" i="13"/>
  <c r="F154" i="13" s="1"/>
  <c r="D155" i="13" l="1"/>
  <c r="E155" i="13" s="1"/>
  <c r="F155" i="13" s="1"/>
  <c r="G154" i="13"/>
  <c r="A219" i="34"/>
  <c r="E160" i="20"/>
  <c r="E161" i="20" s="1"/>
  <c r="F160" i="20" l="1"/>
  <c r="D156" i="13"/>
  <c r="G155" i="13"/>
  <c r="A220" i="34"/>
  <c r="A222" i="34" l="1"/>
  <c r="A224" i="34" s="1"/>
  <c r="A225" i="34" s="1"/>
  <c r="A226" i="34" s="1"/>
  <c r="A229" i="34" s="1"/>
  <c r="E156" i="13"/>
  <c r="F156" i="13" s="1"/>
  <c r="D157" i="13" l="1"/>
  <c r="G156" i="13"/>
  <c r="A230" i="34"/>
  <c r="B234" i="34"/>
  <c r="A231" i="34" l="1"/>
  <c r="B235" i="34"/>
  <c r="E157" i="13"/>
  <c r="F157" i="13" s="1"/>
  <c r="D158" i="13" l="1"/>
  <c r="G157" i="13"/>
  <c r="A234" i="34"/>
  <c r="A235" i="34" s="1"/>
  <c r="A236" i="34" s="1"/>
  <c r="A237" i="34" s="1"/>
  <c r="B236" i="34"/>
  <c r="E158" i="13" l="1"/>
  <c r="F158" i="13" s="1"/>
  <c r="D159" i="13" l="1"/>
  <c r="G158" i="13"/>
  <c r="E159" i="13" l="1"/>
  <c r="E160" i="13" s="1"/>
  <c r="F159" i="13" l="1"/>
  <c r="G159" i="13" s="1"/>
  <c r="B248" i="2" l="1"/>
  <c r="E249" i="2" s="1"/>
  <c r="B249" i="2" l="1"/>
  <c r="B251" i="2" s="1"/>
  <c r="B252" i="2" s="1"/>
  <c r="B253" i="2" s="1"/>
  <c r="B254" i="2" s="1"/>
  <c r="B255" i="2" s="1"/>
  <c r="D69" i="36" l="1"/>
  <c r="J69" i="36"/>
  <c r="J78" i="36" s="1"/>
  <c r="J84" i="36" s="1"/>
  <c r="R78" i="36"/>
  <c r="R84" i="36" s="1"/>
  <c r="E33" i="5" s="1"/>
  <c r="I33" i="5" l="1"/>
  <c r="F70" i="36"/>
  <c r="G69" i="36"/>
  <c r="E35" i="5"/>
  <c r="I35" i="5" s="1"/>
  <c r="D70" i="36" l="1"/>
  <c r="F78" i="36"/>
  <c r="F84" i="36" s="1"/>
  <c r="G88" i="2"/>
  <c r="I36" i="5"/>
  <c r="L88" i="2" s="1"/>
  <c r="E36" i="5"/>
  <c r="G70" i="36" l="1"/>
  <c r="G78" i="36" s="1"/>
  <c r="G84" i="36" s="1"/>
  <c r="D78" i="36"/>
  <c r="D84" i="36" s="1"/>
  <c r="D54" i="37"/>
  <c r="J54" i="37"/>
  <c r="J64" i="37" s="1"/>
  <c r="R64" i="37"/>
  <c r="E41" i="5" s="1"/>
  <c r="I41" i="5" l="1"/>
  <c r="F55" i="37"/>
  <c r="E43" i="5"/>
  <c r="I43" i="5" s="1"/>
  <c r="G54" i="37"/>
  <c r="D55" i="37" l="1"/>
  <c r="F64" i="37"/>
  <c r="E44" i="5"/>
  <c r="G89" i="2"/>
  <c r="G91" i="2" s="1"/>
  <c r="G112" i="2" s="1"/>
  <c r="G183" i="2" s="1"/>
  <c r="G177" i="2" s="1"/>
  <c r="G181" i="2" s="1"/>
  <c r="G191" i="2" s="1"/>
  <c r="I44" i="5"/>
  <c r="L89" i="2" s="1"/>
  <c r="L91" i="2" s="1"/>
  <c r="L112" i="2" s="1"/>
  <c r="F28" i="20" l="1"/>
  <c r="F30" i="20" s="1"/>
  <c r="E28" i="13"/>
  <c r="E30" i="13" s="1"/>
  <c r="L183" i="2"/>
  <c r="G55" i="37"/>
  <c r="G64" i="37" s="1"/>
  <c r="D64" i="37"/>
  <c r="F56" i="13" l="1"/>
  <c r="E34" i="13"/>
  <c r="E36" i="13" s="1"/>
  <c r="E40" i="13" s="1"/>
  <c r="F57" i="13" s="1"/>
  <c r="F49" i="13"/>
  <c r="G49" i="20"/>
  <c r="L177" i="2"/>
  <c r="L181" i="2" s="1"/>
  <c r="F50" i="13" s="1"/>
  <c r="G56" i="20"/>
  <c r="F34" i="20"/>
  <c r="F36" i="20" s="1"/>
  <c r="F40" i="20" s="1"/>
  <c r="L191" i="2" l="1"/>
  <c r="L13" i="2" s="1"/>
  <c r="L18" i="2" s="1"/>
  <c r="G57" i="20"/>
  <c r="G50" i="20"/>
  <c r="G47" i="20" l="1"/>
  <c r="G51" i="20" s="1"/>
  <c r="G55" i="20" s="1"/>
  <c r="G58" i="20" s="1"/>
  <c r="G65" i="20" s="1"/>
  <c r="G66" i="20" s="1"/>
  <c r="L34" i="2"/>
  <c r="L27" i="2"/>
  <c r="L28" i="2" s="1"/>
  <c r="L31" i="2"/>
  <c r="F70" i="13" s="1"/>
  <c r="J95" i="13" s="1"/>
  <c r="F47" i="13"/>
  <c r="F51" i="13" s="1"/>
  <c r="F55" i="13" s="1"/>
  <c r="F58" i="13" s="1"/>
  <c r="F60" i="13" s="1"/>
  <c r="F68" i="13" s="1"/>
  <c r="F69" i="13" s="1"/>
  <c r="G70" i="20" l="1"/>
  <c r="I96" i="20" s="1"/>
  <c r="G127" i="20" s="1"/>
  <c r="F65" i="13"/>
  <c r="F66" i="13" s="1"/>
  <c r="G60" i="20"/>
  <c r="G68" i="20" s="1"/>
  <c r="G69" i="20" s="1"/>
  <c r="G155" i="20"/>
  <c r="G106" i="20"/>
  <c r="G128" i="20"/>
  <c r="G107" i="20"/>
  <c r="G139" i="20"/>
  <c r="G154" i="20"/>
  <c r="G149" i="20"/>
  <c r="G116" i="20"/>
  <c r="G136" i="20"/>
  <c r="G132" i="20"/>
  <c r="G138" i="20"/>
  <c r="G120" i="20"/>
  <c r="G121" i="20"/>
  <c r="G145" i="20"/>
  <c r="G123" i="20"/>
  <c r="G144" i="20"/>
  <c r="G159" i="20"/>
  <c r="G124" i="20"/>
  <c r="G114" i="20"/>
  <c r="G150" i="20"/>
  <c r="G152" i="20"/>
  <c r="G115" i="20"/>
  <c r="G130" i="20"/>
  <c r="G122" i="20"/>
  <c r="G111" i="20"/>
  <c r="G141" i="20"/>
  <c r="G160" i="20"/>
  <c r="G101" i="20"/>
  <c r="G131" i="20"/>
  <c r="G137" i="20"/>
  <c r="G153" i="20"/>
  <c r="G112" i="20"/>
  <c r="G118" i="20"/>
  <c r="G102" i="20"/>
  <c r="G108" i="20"/>
  <c r="G119" i="20"/>
  <c r="G103" i="20"/>
  <c r="G113" i="20"/>
  <c r="G156" i="20"/>
  <c r="G143" i="20"/>
  <c r="G110" i="20"/>
  <c r="G157" i="20"/>
  <c r="G158" i="20"/>
  <c r="G133" i="20"/>
  <c r="G126" i="20"/>
  <c r="G104" i="20"/>
  <c r="G135" i="20"/>
  <c r="G105" i="20"/>
  <c r="G142" i="20"/>
  <c r="G147" i="20"/>
  <c r="G134" i="20"/>
  <c r="G125" i="20"/>
  <c r="I97" i="20"/>
  <c r="H104" i="13"/>
  <c r="H100" i="13"/>
  <c r="H101" i="13"/>
  <c r="H105" i="13"/>
  <c r="H114" i="13"/>
  <c r="H127" i="13"/>
  <c r="H152" i="13"/>
  <c r="H120" i="13"/>
  <c r="H117" i="13"/>
  <c r="H107" i="13"/>
  <c r="H156" i="13"/>
  <c r="H112" i="13"/>
  <c r="H115" i="13"/>
  <c r="H125" i="13"/>
  <c r="H141" i="13"/>
  <c r="H128" i="13"/>
  <c r="H111" i="13"/>
  <c r="H142" i="13"/>
  <c r="H102" i="13"/>
  <c r="H132" i="13"/>
  <c r="H113" i="13"/>
  <c r="H118" i="13"/>
  <c r="H137" i="13"/>
  <c r="H116" i="13"/>
  <c r="H130" i="13"/>
  <c r="H146" i="13"/>
  <c r="H103" i="13"/>
  <c r="H121" i="13"/>
  <c r="H133" i="13"/>
  <c r="H124" i="13"/>
  <c r="H134" i="13"/>
  <c r="H135" i="13"/>
  <c r="H157" i="13"/>
  <c r="H109" i="13"/>
  <c r="H145" i="13"/>
  <c r="H153" i="13"/>
  <c r="H155" i="13"/>
  <c r="H108" i="13"/>
  <c r="H139" i="13"/>
  <c r="H144" i="13"/>
  <c r="H147" i="13"/>
  <c r="H136" i="13"/>
  <c r="H158" i="13"/>
  <c r="H148" i="13"/>
  <c r="H119" i="13"/>
  <c r="H151" i="13"/>
  <c r="H159" i="13"/>
  <c r="H140" i="13"/>
  <c r="H131" i="13"/>
  <c r="H150" i="13"/>
  <c r="H129" i="13"/>
  <c r="H106" i="13"/>
  <c r="H122" i="13"/>
  <c r="J96" i="13"/>
  <c r="H149" i="13"/>
  <c r="H138" i="13"/>
  <c r="H110" i="13"/>
  <c r="H123" i="13"/>
  <c r="H154" i="13"/>
  <c r="H143" i="13"/>
  <c r="H126" i="13"/>
  <c r="G71" i="20"/>
  <c r="F71" i="13"/>
  <c r="G146" i="20" l="1"/>
  <c r="G140" i="20"/>
  <c r="G117" i="20"/>
  <c r="G109" i="20"/>
  <c r="G129" i="20"/>
  <c r="G148" i="20"/>
  <c r="G151" i="20"/>
  <c r="H160" i="13"/>
  <c r="H141" i="20"/>
  <c r="I141" i="20" s="1"/>
  <c r="H108" i="20"/>
  <c r="I108" i="20" s="1"/>
  <c r="H159" i="20"/>
  <c r="I159" i="20" s="1"/>
  <c r="H124" i="20"/>
  <c r="I124" i="20" s="1"/>
  <c r="H105" i="20"/>
  <c r="I105" i="20" s="1"/>
  <c r="H146" i="20"/>
  <c r="I146" i="20" s="1"/>
  <c r="H149" i="20"/>
  <c r="I149" i="20" s="1"/>
  <c r="H122" i="20"/>
  <c r="I122" i="20" s="1"/>
  <c r="H118" i="20"/>
  <c r="I118" i="20" s="1"/>
  <c r="H110" i="20"/>
  <c r="I110" i="20" s="1"/>
  <c r="H119" i="20"/>
  <c r="I119" i="20" s="1"/>
  <c r="H136" i="20"/>
  <c r="I136" i="20" s="1"/>
  <c r="H127" i="20"/>
  <c r="I127" i="20" s="1"/>
  <c r="H139" i="20"/>
  <c r="I139" i="20" s="1"/>
  <c r="H151" i="20"/>
  <c r="H147" i="20"/>
  <c r="I147" i="20" s="1"/>
  <c r="H112" i="20"/>
  <c r="I112" i="20" s="1"/>
  <c r="H102" i="20"/>
  <c r="I102" i="20" s="1"/>
  <c r="H143" i="20"/>
  <c r="I143" i="20" s="1"/>
  <c r="H120" i="20"/>
  <c r="I120" i="20" s="1"/>
  <c r="H115" i="20"/>
  <c r="I115" i="20" s="1"/>
  <c r="H142" i="20"/>
  <c r="I142" i="20" s="1"/>
  <c r="H109" i="20"/>
  <c r="I109" i="20" s="1"/>
  <c r="H130" i="20"/>
  <c r="I130" i="20" s="1"/>
  <c r="H158" i="20"/>
  <c r="I158" i="20" s="1"/>
  <c r="H140" i="20"/>
  <c r="I140" i="20" s="1"/>
  <c r="H160" i="20"/>
  <c r="I160" i="20" s="1"/>
  <c r="H144" i="20"/>
  <c r="I144" i="20" s="1"/>
  <c r="H123" i="20"/>
  <c r="I123" i="20" s="1"/>
  <c r="H111" i="20"/>
  <c r="I111" i="20" s="1"/>
  <c r="H129" i="20"/>
  <c r="I129" i="20" s="1"/>
  <c r="H125" i="20"/>
  <c r="I125" i="20" s="1"/>
  <c r="H128" i="20"/>
  <c r="I128" i="20" s="1"/>
  <c r="H156" i="20"/>
  <c r="I156" i="20" s="1"/>
  <c r="H145" i="20"/>
  <c r="I145" i="20" s="1"/>
  <c r="H138" i="20"/>
  <c r="I138" i="20" s="1"/>
  <c r="H116" i="20"/>
  <c r="I116" i="20" s="1"/>
  <c r="H134" i="20"/>
  <c r="I134" i="20" s="1"/>
  <c r="H114" i="20"/>
  <c r="I114" i="20" s="1"/>
  <c r="H155" i="20"/>
  <c r="I155" i="20" s="1"/>
  <c r="H135" i="20"/>
  <c r="I135" i="20" s="1"/>
  <c r="H121" i="20"/>
  <c r="I121" i="20" s="1"/>
  <c r="H133" i="20"/>
  <c r="I133" i="20" s="1"/>
  <c r="H148" i="20"/>
  <c r="H152" i="20"/>
  <c r="I152" i="20" s="1"/>
  <c r="H150" i="20"/>
  <c r="I150" i="20" s="1"/>
  <c r="H154" i="20"/>
  <c r="I154" i="20" s="1"/>
  <c r="H106" i="20"/>
  <c r="I106" i="20" s="1"/>
  <c r="H131" i="20"/>
  <c r="I131" i="20" s="1"/>
  <c r="H153" i="20"/>
  <c r="I153" i="20" s="1"/>
  <c r="H107" i="20"/>
  <c r="I107" i="20" s="1"/>
  <c r="H113" i="20"/>
  <c r="I113" i="20" s="1"/>
  <c r="H101" i="20"/>
  <c r="H103" i="20"/>
  <c r="I103" i="20" s="1"/>
  <c r="H157" i="20"/>
  <c r="I157" i="20" s="1"/>
  <c r="H104" i="20"/>
  <c r="I104" i="20" s="1"/>
  <c r="H132" i="20"/>
  <c r="I132" i="20" s="1"/>
  <c r="H117" i="20"/>
  <c r="H126" i="20"/>
  <c r="I126" i="20" s="1"/>
  <c r="H137" i="20"/>
  <c r="I137" i="20" s="1"/>
  <c r="I158" i="13"/>
  <c r="J158" i="13" s="1"/>
  <c r="I120" i="13"/>
  <c r="J120" i="13" s="1"/>
  <c r="I156" i="13"/>
  <c r="J156" i="13" s="1"/>
  <c r="I127" i="13"/>
  <c r="J127" i="13" s="1"/>
  <c r="I144" i="13"/>
  <c r="J144" i="13" s="1"/>
  <c r="I154" i="13"/>
  <c r="J154" i="13" s="1"/>
  <c r="I125" i="13"/>
  <c r="J125" i="13" s="1"/>
  <c r="I111" i="13"/>
  <c r="J111" i="13" s="1"/>
  <c r="I138" i="13"/>
  <c r="J138" i="13" s="1"/>
  <c r="I133" i="13"/>
  <c r="J133" i="13" s="1"/>
  <c r="I104" i="13"/>
  <c r="J104" i="13" s="1"/>
  <c r="I146" i="13"/>
  <c r="J146" i="13" s="1"/>
  <c r="I102" i="13"/>
  <c r="J102" i="13" s="1"/>
  <c r="I140" i="13"/>
  <c r="J140" i="13" s="1"/>
  <c r="I134" i="13"/>
  <c r="J134" i="13" s="1"/>
  <c r="I115" i="13"/>
  <c r="J115" i="13" s="1"/>
  <c r="I130" i="13"/>
  <c r="J130" i="13" s="1"/>
  <c r="I103" i="13"/>
  <c r="J103" i="13" s="1"/>
  <c r="I101" i="13"/>
  <c r="J101" i="13" s="1"/>
  <c r="I119" i="13"/>
  <c r="J119" i="13" s="1"/>
  <c r="I142" i="13"/>
  <c r="J142" i="13" s="1"/>
  <c r="I122" i="13"/>
  <c r="J122" i="13" s="1"/>
  <c r="I114" i="13"/>
  <c r="J114" i="13" s="1"/>
  <c r="I150" i="13"/>
  <c r="J150" i="13" s="1"/>
  <c r="I135" i="13"/>
  <c r="J135" i="13" s="1"/>
  <c r="I112" i="13"/>
  <c r="J112" i="13" s="1"/>
  <c r="I108" i="13"/>
  <c r="J108" i="13" s="1"/>
  <c r="I131" i="13"/>
  <c r="J131" i="13" s="1"/>
  <c r="I139" i="13"/>
  <c r="J139" i="13" s="1"/>
  <c r="I132" i="13"/>
  <c r="J132" i="13" s="1"/>
  <c r="I118" i="13"/>
  <c r="J118" i="13" s="1"/>
  <c r="I116" i="13"/>
  <c r="J116" i="13" s="1"/>
  <c r="I121" i="13"/>
  <c r="J121" i="13" s="1"/>
  <c r="I137" i="13"/>
  <c r="J137" i="13" s="1"/>
  <c r="I107" i="13"/>
  <c r="J107" i="13" s="1"/>
  <c r="I117" i="13"/>
  <c r="J117" i="13" s="1"/>
  <c r="I155" i="13"/>
  <c r="J155" i="13" s="1"/>
  <c r="I123" i="13"/>
  <c r="J123" i="13" s="1"/>
  <c r="I129" i="13"/>
  <c r="J129" i="13" s="1"/>
  <c r="I109" i="13"/>
  <c r="J109" i="13" s="1"/>
  <c r="I157" i="13"/>
  <c r="J157" i="13" s="1"/>
  <c r="I151" i="13"/>
  <c r="J151" i="13" s="1"/>
  <c r="I128" i="13"/>
  <c r="J128" i="13" s="1"/>
  <c r="I147" i="13"/>
  <c r="J147" i="13" s="1"/>
  <c r="I110" i="13"/>
  <c r="J110" i="13" s="1"/>
  <c r="I113" i="13"/>
  <c r="J113" i="13" s="1"/>
  <c r="I152" i="13"/>
  <c r="J152" i="13" s="1"/>
  <c r="I145" i="13"/>
  <c r="J145" i="13" s="1"/>
  <c r="I124" i="13"/>
  <c r="J124" i="13" s="1"/>
  <c r="I126" i="13"/>
  <c r="J126" i="13" s="1"/>
  <c r="I148" i="13"/>
  <c r="J148" i="13" s="1"/>
  <c r="I159" i="13"/>
  <c r="J159" i="13" s="1"/>
  <c r="I153" i="13"/>
  <c r="J153" i="13" s="1"/>
  <c r="I149" i="13"/>
  <c r="J149" i="13" s="1"/>
  <c r="I100" i="13"/>
  <c r="I141" i="13"/>
  <c r="J141" i="13" s="1"/>
  <c r="I136" i="13"/>
  <c r="J136" i="13" s="1"/>
  <c r="I143" i="13"/>
  <c r="J143" i="13" s="1"/>
  <c r="I106" i="13"/>
  <c r="J106" i="13" s="1"/>
  <c r="I105" i="13"/>
  <c r="J105" i="13" s="1"/>
  <c r="I117" i="20" l="1"/>
  <c r="G161" i="20"/>
  <c r="I148" i="20"/>
  <c r="I151" i="20"/>
  <c r="J100" i="13"/>
  <c r="J160" i="13" s="1"/>
  <c r="I160" i="13"/>
  <c r="I101" i="20"/>
  <c r="H161" i="20"/>
  <c r="I161" i="20" l="1"/>
</calcChain>
</file>

<file path=xl/sharedStrings.xml><?xml version="1.0" encoding="utf-8"?>
<sst xmlns="http://schemas.openxmlformats.org/spreadsheetml/2006/main" count="1873" uniqueCount="1058">
  <si>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</si>
  <si>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</si>
  <si>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</si>
  <si>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</si>
  <si>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</si>
  <si>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</si>
  <si>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</si>
  <si>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</si>
  <si>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</si>
  <si>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</si>
  <si>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</si>
  <si>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</si>
  <si>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</si>
  <si>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</si>
  <si>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</si>
  <si>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</si>
  <si>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</si>
  <si>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</si>
  <si>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</si>
  <si>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</si>
  <si>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</si>
  <si>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</si>
  <si>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</si>
  <si>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</si>
  <si>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</si>
  <si>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</si>
  <si>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</si>
  <si>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</si>
  <si>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</si>
  <si>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</si>
  <si>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</si>
  <si>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</si>
  <si>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</si>
  <si>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</si>
  <si>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</si>
  <si>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</si>
  <si>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</si>
  <si>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</si>
  <si>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</si>
  <si>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</si>
  <si>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</si>
  <si>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</si>
  <si>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</si>
  <si>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</si>
  <si>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</si>
  <si>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</si>
  <si>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</si>
  <si>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</si>
  <si>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</si>
  <si>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</si>
  <si>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</si>
  <si>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</si>
  <si>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</si>
  <si>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</si>
  <si>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</si>
  <si>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</si>
  <si>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</si>
  <si>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</si>
  <si>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</si>
  <si>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</si>
  <si>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</si>
  <si>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</si>
  <si>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</si>
  <si>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</si>
  <si>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</si>
  <si>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</si>
  <si>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</si>
  <si>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</si>
  <si>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</si>
  <si>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</si>
  <si>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</si>
  <si>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</si>
  <si>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</si>
  <si>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</si>
  <si>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</si>
  <si>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</si>
  <si>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</si>
  <si>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</si>
  <si>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</si>
  <si>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</si>
  <si>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</si>
  <si>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</si>
  <si>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</si>
  <si>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</si>
  <si>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</si>
  <si>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</si>
  <si>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</si>
  <si>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</si>
  <si>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</si>
  <si>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</si>
  <si>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</si>
  <si>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</si>
  <si>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</si>
  <si>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</si>
  <si>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</si>
  <si>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</si>
  <si>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</si>
  <si>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</si>
  <si>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</si>
  <si>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</si>
  <si>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</si>
  <si>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</si>
  <si>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</si>
  <si>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</si>
  <si>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</si>
  <si>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</si>
  <si>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</si>
  <si>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</si>
  <si>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</si>
  <si>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</si>
  <si>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</si>
  <si>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</si>
  <si>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</si>
  <si>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</si>
  <si>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</si>
  <si>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</si>
  <si>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</si>
  <si>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</si>
  <si>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</si>
  <si>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</si>
  <si>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</si>
  <si>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</si>
  <si>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</si>
  <si>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</si>
  <si>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</si>
  <si>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</si>
  <si>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</si>
  <si>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</si>
  <si>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</si>
  <si>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</si>
  <si>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</si>
  <si>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</si>
  <si>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</si>
  <si>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</si>
  <si>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</si>
  <si>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</si>
  <si>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</si>
  <si>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</si>
  <si>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</si>
  <si>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</si>
  <si>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</si>
  <si>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</si>
  <si>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</si>
  <si>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</si>
  <si>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</si>
  <si>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</si>
  <si>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</si>
  <si>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</si>
  <si>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</si>
  <si>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</si>
  <si>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</si>
  <si>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</si>
  <si>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</si>
  <si>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</si>
  <si>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</si>
  <si>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</si>
  <si>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</si>
  <si>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</si>
  <si>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</si>
  <si>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</si>
  <si>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</si>
  <si>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</si>
  <si>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</si>
  <si>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</si>
  <si>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</si>
  <si>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</si>
  <si>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</si>
  <si>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</si>
  <si>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</si>
  <si>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</si>
  <si>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</si>
  <si>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</si>
  <si>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</si>
  <si>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</si>
  <si>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</si>
  <si>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</si>
  <si>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</si>
  <si>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</si>
  <si>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</si>
  <si>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</si>
  <si>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</si>
  <si>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</si>
  <si>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</si>
  <si>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</si>
  <si>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</si>
  <si>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</si>
  <si>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</si>
  <si>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</si>
  <si>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</si>
  <si>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</si>
  <si>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</si>
  <si>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</si>
  <si>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</si>
  <si>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</si>
  <si>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</si>
  <si>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</si>
  <si>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</si>
  <si>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</si>
  <si>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</si>
  <si>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</si>
  <si>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</si>
  <si>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</si>
  <si>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</si>
  <si>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</si>
  <si>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</si>
  <si>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</si>
  <si>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</si>
  <si>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</si>
  <si>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</si>
  <si>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</si>
  <si>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</si>
  <si>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</si>
  <si>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</si>
  <si>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</si>
  <si>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</si>
  <si>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</si>
  <si>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</si>
  <si>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</si>
  <si>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</si>
  <si>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</si>
  <si>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</si>
  <si>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</si>
  <si>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</si>
  <si>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</si>
  <si>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</si>
  <si>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</si>
  <si>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</si>
  <si>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</si>
  <si>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</si>
  <si>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</si>
  <si>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</si>
  <si>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</si>
  <si>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</si>
  <si>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</si>
  <si>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</si>
  <si>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</si>
  <si>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</si>
  <si>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</si>
  <si>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</si>
  <si>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</si>
  <si>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</si>
  <si>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</si>
  <si>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</si>
  <si>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</si>
  <si>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</si>
  <si>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</si>
  <si>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</si>
  <si>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</si>
  <si>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</si>
  <si>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</si>
  <si>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</si>
  <si>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</si>
  <si>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</si>
  <si>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</si>
  <si>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</si>
  <si>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</si>
  <si>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</si>
  <si>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</si>
  <si>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</si>
  <si>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</si>
  <si>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</si>
  <si>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</si>
  <si>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</si>
  <si>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</si>
  <si>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</si>
  <si>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</si>
  <si>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</si>
  <si>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</si>
  <si>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</si>
  <si>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</si>
  <si>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</si>
  <si>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</si>
  <si>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</si>
  <si>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</si>
  <si>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</si>
  <si>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</si>
  <si>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</si>
  <si>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</si>
  <si>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</si>
  <si>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</si>
  <si>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</si>
  <si>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</si>
  <si>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</si>
  <si>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</si>
  <si>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</si>
  <si>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</si>
  <si>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</si>
  <si>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</si>
  <si>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</si>
  <si>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</si>
  <si>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</si>
  <si>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</si>
  <si>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</si>
  <si>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</si>
  <si>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</si>
  <si>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</si>
  <si>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</si>
  <si>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</si>
  <si>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</si>
  <si>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</si>
  <si>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</si>
  <si>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</si>
  <si>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</si>
  <si>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</si>
  <si>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</si>
  <si>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</si>
  <si>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</si>
  <si>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</si>
  <si>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</si>
  <si>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</si>
  <si>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</si>
  <si>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</si>
  <si>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</si>
  <si>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</si>
  <si>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</si>
  <si>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</si>
  <si>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</si>
  <si>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</si>
  <si>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</si>
  <si>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</si>
  <si>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</si>
  <si>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</si>
  <si>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</si>
  <si>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</si>
  <si>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</si>
  <si>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</si>
  <si>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</si>
  <si>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</si>
  <si>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</si>
  <si>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</si>
  <si>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</si>
  <si>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</si>
  <si>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</si>
  <si>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</si>
  <si>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</si>
  <si>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</si>
  <si>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</si>
  <si>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</si>
  <si>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</si>
  <si>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</si>
  <si>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</si>
  <si>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</si>
  <si>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</si>
  <si>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</si>
  <si>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</si>
  <si>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</si>
  <si>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</si>
  <si>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</si>
  <si>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</si>
  <si>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</si>
  <si>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</si>
  <si>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</si>
  <si>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</si>
  <si>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</si>
  <si>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</si>
  <si>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</si>
  <si>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</si>
  <si>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</si>
  <si>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</si>
  <si>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</si>
  <si>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</si>
  <si>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</si>
  <si>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</si>
  <si>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</si>
  <si>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</si>
  <si>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</si>
  <si>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</si>
  <si>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</si>
  <si>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</si>
  <si>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</si>
  <si>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</si>
  <si>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</si>
  <si>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</si>
  <si>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</si>
  <si>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</si>
  <si>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</si>
  <si>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</si>
  <si>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</si>
  <si>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</si>
  <si>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</si>
  <si>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</si>
  <si>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</si>
  <si>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</si>
  <si>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</si>
  <si>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</si>
  <si>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</si>
  <si>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</si>
  <si>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</si>
  <si>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</si>
  <si>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</si>
  <si>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</si>
  <si>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</si>
  <si>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</si>
  <si>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</si>
  <si>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</si>
  <si>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</si>
  <si>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</si>
  <si>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</si>
  <si>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</si>
  <si>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</si>
  <si>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</si>
  <si>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</si>
  <si>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</si>
  <si>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</si>
  <si>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</si>
  <si>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</si>
  <si>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</si>
  <si>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</si>
  <si>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</si>
  <si>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</si>
  <si>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</si>
  <si>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</si>
  <si>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</si>
  <si>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</si>
  <si>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</si>
  <si>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</si>
  <si>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</si>
  <si>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</si>
  <si>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</si>
  <si>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</si>
  <si>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</si>
  <si>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</si>
  <si>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</si>
  <si>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</si>
  <si>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</si>
  <si>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</si>
  <si>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</si>
  <si>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</si>
  <si>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</si>
  <si>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</si>
  <si>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</si>
  <si>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</si>
  <si>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</si>
  <si>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</si>
  <si>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</si>
  <si>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</si>
  <si>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</si>
  <si>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</si>
  <si>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</si>
  <si>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</si>
  <si>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</si>
  <si>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</si>
  <si>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</si>
  <si>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</si>
  <si>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</si>
  <si>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</si>
  <si>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</si>
  <si>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</si>
  <si>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</si>
  <si>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</si>
  <si>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</si>
  <si>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</si>
  <si>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</si>
  <si>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</si>
  <si>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</si>
  <si>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</si>
  <si>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</si>
  <si>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</si>
  <si>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</si>
  <si>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</si>
  <si>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</si>
  <si>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</si>
  <si>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</si>
  <si>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</si>
  <si>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</si>
  <si>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</si>
  <si>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</si>
  <si>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</si>
  <si>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</si>
  <si>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</si>
  <si>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</si>
  <si>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</si>
  <si>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</si>
  <si>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</si>
  <si>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</si>
  <si>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</si>
  <si>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</si>
  <si>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</si>
  <si>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</si>
  <si>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</si>
  <si>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</si>
  <si>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</si>
  <si>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</si>
  <si>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</si>
  <si>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</si>
  <si>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</si>
  <si>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</si>
  <si>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</si>
  <si>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</si>
  <si>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</si>
  <si>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</si>
  <si>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</si>
  <si>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</si>
  <si>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</si>
  <si>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</si>
  <si>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</si>
  <si>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</si>
  <si>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</si>
  <si>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</si>
  <si>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</si>
  <si>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</si>
  <si>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</si>
  <si>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</si>
  <si>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</si>
  <si>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</si>
  <si>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</si>
  <si>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</si>
  <si>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</si>
  <si>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</si>
  <si>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</si>
  <si>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</si>
  <si>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</si>
  <si>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</si>
  <si>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</si>
  <si>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</si>
  <si>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</si>
  <si>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</si>
  <si>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</si>
  <si>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</si>
  <si>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</si>
  <si>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</si>
  <si>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</si>
  <si>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</si>
  <si>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</si>
  <si>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</si>
  <si>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</si>
  <si>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</si>
  <si>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</si>
  <si>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</si>
  <si>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</si>
  <si>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</si>
  <si>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</si>
  <si>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</si>
  <si>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</si>
  <si>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</si>
  <si>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</si>
  <si>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</si>
  <si>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</si>
  <si>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</si>
  <si>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</si>
  <si>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</si>
  <si>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</si>
  <si>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</si>
  <si>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</si>
  <si>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</si>
  <si>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</si>
  <si>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</si>
  <si>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</si>
  <si>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</si>
  <si>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</si>
  <si>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</si>
  <si>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</si>
  <si>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</si>
  <si>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</si>
  <si>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</si>
  <si>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</si>
  <si>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</si>
  <si>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</si>
  <si>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</si>
  <si>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</si>
  <si>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</si>
  <si>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</si>
  <si>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</si>
  <si>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</si>
  <si>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</si>
  <si>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</si>
  <si>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</si>
  <si>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</si>
  <si>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</si>
  <si>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</si>
  <si>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</si>
  <si>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</si>
  <si>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</si>
  <si>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</si>
  <si>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</si>
  <si>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</si>
  <si>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</si>
  <si>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</si>
  <si>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</si>
  <si>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</si>
  <si>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</si>
  <si>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</si>
  <si>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</si>
  <si>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</si>
  <si>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</si>
  <si>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</si>
  <si>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</si>
  <si>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</si>
  <si>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</si>
  <si>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</si>
  <si>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</si>
  <si>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</si>
  <si>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</si>
  <si>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</si>
  <si>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</si>
  <si>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</si>
  <si>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</si>
  <si>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</si>
  <si>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</si>
  <si>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</si>
  <si>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</si>
  <si>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</si>
  <si>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</si>
  <si>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</si>
  <si>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</si>
  <si>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</si>
  <si>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</si>
  <si>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</si>
  <si>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</si>
  <si>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</si>
  <si>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</si>
  <si>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</si>
  <si>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</si>
  <si>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</si>
  <si>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</si>
  <si>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</si>
  <si>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</si>
  <si>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</si>
  <si>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</si>
  <si>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</si>
  <si>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</si>
  <si>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</si>
  <si>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</si>
  <si>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</si>
  <si>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</si>
  <si>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</si>
  <si>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</si>
  <si>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</si>
  <si>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</si>
  <si>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</si>
  <si>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</si>
  <si>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</si>
  <si>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</si>
  <si>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</si>
  <si>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</si>
  <si>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</si>
  <si>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</si>
  <si>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</si>
  <si>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</si>
  <si>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</si>
  <si>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</si>
  <si>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</si>
  <si>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</si>
  <si>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</si>
  <si>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</si>
  <si>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</si>
  <si>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</si>
  <si>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</si>
  <si>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</si>
  <si>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</si>
  <si>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</si>
  <si>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</si>
  <si>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</si>
  <si>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</si>
  <si>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</si>
  <si>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</si>
  <si>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</si>
  <si>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</si>
  <si>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</si>
  <si>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</si>
  <si>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</si>
  <si>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</si>
  <si>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</si>
  <si>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</si>
  <si>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</si>
  <si>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</si>
  <si>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</si>
  <si>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</si>
  <si>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</si>
  <si>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</si>
  <si>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</si>
  <si>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</si>
  <si>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</si>
  <si>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</si>
  <si>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</si>
  <si>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</si>
  <si>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</si>
  <si>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</si>
  <si>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</si>
  <si>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</si>
  <si>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</si>
  <si>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</si>
  <si>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</si>
  <si>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</si>
  <si>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</si>
  <si>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</si>
  <si>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</si>
  <si>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</si>
  <si>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</si>
  <si>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</si>
  <si>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</si>
  <si>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</si>
  <si>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</si>
  <si>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</si>
  <si>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</si>
  <si>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</si>
  <si>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</si>
  <si>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</si>
  <si>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</si>
  <si>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</si>
  <si>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</si>
  <si>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</si>
  <si>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</si>
  <si>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</si>
  <si>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</si>
  <si>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</si>
  <si>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</si>
  <si>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</si>
  <si>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</si>
  <si>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</si>
  <si>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</si>
  <si>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</si>
  <si>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</si>
  <si>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</si>
  <si>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</si>
  <si>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</si>
  <si>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</si>
  <si>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</si>
  <si>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</si>
  <si>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</si>
  <si>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</si>
  <si>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</si>
  <si>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</si>
  <si>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</si>
  <si>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</si>
  <si>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</si>
  <si>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</si>
  <si>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</si>
  <si>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</si>
  <si>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</si>
  <si>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</si>
  <si>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</si>
  <si>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</si>
  <si>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</si>
  <si>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</si>
  <si>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</si>
  <si>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</si>
  <si>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</si>
  <si>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</si>
  <si>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</si>
  <si>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</si>
  <si>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</si>
  <si>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</si>
  <si>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</si>
  <si>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</si>
  <si>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</si>
  <si>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</si>
  <si>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</si>
  <si>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</si>
  <si>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</si>
  <si>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</si>
  <si>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</si>
  <si>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</si>
  <si>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</si>
  <si>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</si>
  <si>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</si>
  <si>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</si>
  <si>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</si>
  <si>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</si>
  <si>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</si>
  <si>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</si>
  <si>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</si>
  <si>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</si>
  <si>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</si>
  <si>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</si>
  <si>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</si>
  <si>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</si>
  <si>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</si>
  <si>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</si>
  <si>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</si>
  <si>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</si>
  <si>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</si>
  <si>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</si>
  <si>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</si>
  <si>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</si>
  <si>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</si>
  <si>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</si>
  <si>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</si>
  <si>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</si>
  <si>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</si>
  <si>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</si>
  <si>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</si>
  <si>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</si>
  <si>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</si>
  <si>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</si>
  <si>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</si>
  <si>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</si>
  <si>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</si>
  <si>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</si>
  <si>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</si>
  <si>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</si>
  <si>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</si>
  <si>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</si>
  <si>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</si>
  <si>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</si>
  <si>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</si>
  <si>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</si>
  <si>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</si>
  <si>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</si>
  <si>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</si>
  <si>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</si>
  <si>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Appalachian Transmission Company</t>
  </si>
  <si>
    <t xml:space="preserve">Interest Rate on Amount of Refunds or </t>
  </si>
  <si>
    <t>Surcharges (Note 1)</t>
  </si>
  <si>
    <t xml:space="preserve">Tennessee Excise Tax Rate </t>
  </si>
  <si>
    <t>Virginia State Tax Rate</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</si>
  <si>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</si>
  <si>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</si>
  <si>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</si>
  <si>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</si>
  <si>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</si>
  <si>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</si>
  <si>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</si>
  <si>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</si>
  <si>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</si>
  <si>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</si>
  <si>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</si>
  <si>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</si>
  <si>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</si>
  <si>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</si>
  <si>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</si>
  <si>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</si>
  <si>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</si>
  <si>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</si>
  <si>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</si>
  <si>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</si>
  <si>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</si>
  <si>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</si>
  <si>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</si>
  <si>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</si>
  <si>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Misc General Expenses</t>
  </si>
  <si>
    <t>9302003</t>
  </si>
  <si>
    <t>Corporate &amp; Fiscal Expenses</t>
  </si>
  <si>
    <t>9302007</t>
  </si>
  <si>
    <t>Assoc Business Development Exp</t>
  </si>
  <si>
    <t>BOOK VS. TAX DEPRECIATION</t>
  </si>
  <si>
    <t>R &amp; D DEDUCTION - SECTION 174</t>
  </si>
  <si>
    <t>ABFUDC</t>
  </si>
  <si>
    <t>INT EXP CAPITALIZED FOR TAX</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</si>
  <si>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</si>
  <si>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</si>
  <si>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</si>
  <si>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</si>
  <si>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</si>
  <si>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</si>
  <si>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</si>
  <si>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</si>
  <si>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STATE CARRYFORWARD</t>
  </si>
  <si>
    <t>NOL STATE CARRYFORWARD - VALUATION ALLOWANCE</t>
  </si>
  <si>
    <t>NON-UTILITY DEFERRED FIT 283.2</t>
  </si>
  <si>
    <t>SFAS 109 FLOW-THRU 283.3</t>
  </si>
  <si>
    <t>SFAS 109 EXCESS DFIT 283.4</t>
  </si>
  <si>
    <t>SFAS 133 ADIT FED - SFAS 133 NONAFFIL 2830006</t>
  </si>
  <si>
    <t>ADIT - FED-HDG-CF-INT RATE 2830015</t>
  </si>
  <si>
    <t>NOL &amp; TAX CREDIT C/F - DEF TAX ASSET</t>
  </si>
  <si>
    <t>ACCRD COMPANYWIDE INCENTV PLAN</t>
  </si>
  <si>
    <t>ACCRUED INTEREST-LONG-TERM - FIN 48</t>
  </si>
  <si>
    <t>AMT CREDIT - DEFERRED</t>
  </si>
  <si>
    <t>NOL-DEFERRED TAX ASSET RECLASS</t>
  </si>
  <si>
    <t>SFAS 109 FLOW-THRU 190.3</t>
  </si>
  <si>
    <t>SFAS 109 EXCESS DFIT 190.4</t>
  </si>
  <si>
    <t>SFAS 133 ADIT FED - SFAS NONAFFIL 1900006</t>
  </si>
  <si>
    <t>ADIT FED - PENSION OCI NAF 1900009</t>
  </si>
  <si>
    <t>ADIT-FED-HDG-CF-INT RATE1900015</t>
  </si>
  <si>
    <t>DEFERRED SIT  1901002</t>
  </si>
  <si>
    <t>TX AMORT POLLUTION CONT EQPT</t>
  </si>
  <si>
    <t>NON-UTILITY DEFERRED FIT 281.2</t>
  </si>
  <si>
    <t>SFAS 109 FLOW-THRU 281.3</t>
  </si>
  <si>
    <t>SFAS 109 EXCESS DFIT 281.4</t>
  </si>
  <si>
    <t xml:space="preserve">SFAS 109 - DEFD STATE INCOME TAXES </t>
  </si>
  <si>
    <t>1650021</t>
  </si>
  <si>
    <t>Prepaid Insurance - EIS</t>
  </si>
  <si>
    <t>481 a BONUS DEPRECIATION</t>
  </si>
  <si>
    <t>TAX DEPRECIATION LOOKBACK</t>
  </si>
  <si>
    <t>TAX CREDIT C/F - DEF TAX ASSET</t>
  </si>
  <si>
    <t>PROVS POSS REV REFDS-A/L</t>
  </si>
  <si>
    <t>GENERAL PLANT</t>
  </si>
  <si>
    <t>Stores Equipment</t>
  </si>
  <si>
    <t>Laboratory Equipment</t>
  </si>
  <si>
    <t>APPALACHAIN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</si>
  <si>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</si>
  <si>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</si>
  <si>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</si>
  <si>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</si>
  <si>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</si>
  <si>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</si>
  <si>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</si>
  <si>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</si>
  <si>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</si>
  <si>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</si>
  <si>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</si>
  <si>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</si>
  <si>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</si>
  <si>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</si>
  <si>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</si>
  <si>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</si>
  <si>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</si>
  <si>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</si>
  <si>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</si>
  <si>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</si>
  <si>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</si>
  <si>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</si>
  <si>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</si>
  <si>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</si>
  <si>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</si>
  <si>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</si>
  <si>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</si>
  <si>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</si>
  <si>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</si>
  <si>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</si>
  <si>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</si>
  <si>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</si>
  <si>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</si>
  <si>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</si>
  <si>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</si>
  <si>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</si>
  <si>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</si>
  <si>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</si>
  <si>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</si>
  <si>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</si>
  <si>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</si>
  <si>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</si>
  <si>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</si>
  <si>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</si>
  <si>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</si>
  <si>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</si>
  <si>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</si>
  <si>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</si>
  <si>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</si>
  <si>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</si>
  <si>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</si>
  <si>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</si>
  <si>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</si>
  <si>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</si>
  <si>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</si>
  <si>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</si>
  <si>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</si>
  <si>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</si>
  <si>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 5.11</t>
  </si>
  <si>
    <t>9301014</t>
  </si>
  <si>
    <t>Video Communications</t>
  </si>
  <si>
    <t>BOOK/TAX UNIT OF PROPERTY ADJ</t>
  </si>
  <si>
    <t>WS B - 1 Col N, ADIT Item 5.12</t>
  </si>
  <si>
    <t>TENNESSEE JURISDICTION</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</si>
  <si>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</si>
  <si>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</si>
  <si>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</si>
  <si>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</si>
  <si>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</si>
  <si>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</si>
  <si>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</si>
  <si>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</si>
  <si>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</si>
  <si>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</si>
  <si>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</si>
  <si>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</si>
  <si>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</si>
  <si>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NOL ADJUSTMENT</t>
  </si>
  <si>
    <t>NOL CONTRA</t>
  </si>
  <si>
    <t>WS B - 2 Col B/C, ADIT Item 2.13</t>
  </si>
  <si>
    <t>WS B - 1 Col B/C, ADIT Item 5.17</t>
  </si>
  <si>
    <t>WS B - 1 Col B/C, ADIT Item 9.09</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</si>
  <si>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</si>
  <si>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</si>
  <si>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</si>
  <si>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</si>
  <si>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</si>
  <si>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</si>
  <si>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</si>
  <si>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</si>
  <si>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</si>
  <si>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</si>
  <si>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ATTACHMENT H-20B</t>
  </si>
  <si>
    <t>WORKSHEET B-3-X</t>
  </si>
  <si>
    <t>TAX REMEASUREMENT WORKSHEET</t>
  </si>
  <si>
    <t>AEP EAST TRANSMISSION COMPANIES</t>
  </si>
  <si>
    <t>Docket ER20-1888-000</t>
  </si>
  <si>
    <t>AEP APPALACHIAN TRANSMISSION COMPANY</t>
  </si>
  <si>
    <t>Compliance Filing</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</si>
  <si>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</si>
  <si>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</si>
  <si>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</si>
  <si>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</si>
  <si>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</si>
  <si>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</si>
  <si>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</si>
  <si>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</si>
  <si>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</si>
  <si>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</si>
  <si>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</si>
  <si>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</si>
  <si>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</si>
  <si>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</si>
  <si>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</si>
  <si>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</si>
  <si>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</si>
  <si>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</si>
  <si>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</si>
  <si>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</si>
  <si>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</si>
  <si>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</si>
  <si>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</si>
  <si>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</si>
  <si>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</si>
  <si>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</si>
  <si>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</si>
  <si>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</si>
  <si>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</si>
  <si>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</si>
  <si>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</si>
  <si>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</si>
  <si>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</si>
  <si>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</si>
  <si>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</si>
  <si>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</si>
  <si>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</si>
  <si>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</si>
  <si>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</si>
  <si>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</si>
  <si>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</si>
  <si>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</si>
  <si>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</si>
  <si>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1650001</t>
  </si>
  <si>
    <t>Prepaid Insurance</t>
  </si>
  <si>
    <t>Research, Develop&amp;Demonstr Exp</t>
  </si>
  <si>
    <t>9302004</t>
  </si>
  <si>
    <t>REG ASSET-FERC Formula Rates Under Recvr</t>
  </si>
  <si>
    <t>State Property Mod - TN</t>
  </si>
  <si>
    <t>State Property Mod - VA</t>
  </si>
  <si>
    <t>ACRS BENEFIT NORMALIZED</t>
  </si>
  <si>
    <t>R &amp; D DEDUCTION - SEC 174</t>
  </si>
  <si>
    <t>INSURANCE PREMIUMS ACCRUED</t>
  </si>
  <si>
    <t>CAPITALIZED SOFTWARE COST-BOOKS</t>
  </si>
  <si>
    <t>EFFECTIVE AS OF JANUARY 1, 2023</t>
  </si>
  <si>
    <r>
      <t xml:space="preserve">Note: </t>
    </r>
    <r>
      <rPr>
        <sz val="12"/>
        <rFont val="Arial MT"/>
      </rPr>
      <t xml:space="preserve">APCo Transco Depreciation Rates are based on the APCO VA Depr Study to be filed in Case No. PUR-2022-00002. </t>
    </r>
  </si>
  <si>
    <t>1/1/2024 Beginning  Balances</t>
  </si>
  <si>
    <t>12/31/2024 Ending Balance</t>
  </si>
  <si>
    <t>3501 - TAX CREDIT C/F - DEF TAX ASSET(OLD)</t>
  </si>
  <si>
    <t>6002 - PT AFUDC Debt - NORM</t>
  </si>
  <si>
    <t>6009 - PT COR - NORM</t>
  </si>
  <si>
    <t>6011 - PT CPI - NORM</t>
  </si>
  <si>
    <t>6018 - PT Method/Life - NORM</t>
  </si>
  <si>
    <t>6021 - PT R&amp;D Adjustment - NORM</t>
  </si>
  <si>
    <t>6024 - PT Repairs UOP - NORM</t>
  </si>
  <si>
    <t>6523 - 2020 712L 481(a) Software</t>
  </si>
  <si>
    <t>7021 - PROVS POSS REV REFDS-A/L</t>
  </si>
  <si>
    <t>7027 - INSURANCE PREMIUMS ACCRUED</t>
  </si>
  <si>
    <t>7048 - ACCRD COMPANYWIDE INCENTV PLAN</t>
  </si>
  <si>
    <t>7105 - MISC PREPAID EXPENSES</t>
  </si>
  <si>
    <t>7423 - REG ASSET-FERC Formula Rates Under Recvr</t>
  </si>
  <si>
    <t>9027 - State Property Mod - TN</t>
  </si>
  <si>
    <t>9030 - State Property Mod - VA</t>
  </si>
  <si>
    <t>2011 - EXCESS ADFIT 282 - UNPROTECTED.</t>
  </si>
  <si>
    <t>2012 - EXCESS ADFIT 283 - UNPROTECTED.</t>
  </si>
  <si>
    <t>4035 - NOL-STATE C/F-DEF TAX ASSET-L/T - TN</t>
  </si>
  <si>
    <t>4037 - NOL-STATE C/F-DEF TAX ASSET-L/T - VA</t>
  </si>
  <si>
    <t>P.263, Ln 1(l)</t>
  </si>
  <si>
    <t>P.263 ln 9(l)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</si>
</sst>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5">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4">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61">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7"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5"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93" fontId="2" fillId="0" borderId="0" xfId="260" applyNumberFormat="1" applyFill="1" applyProtection="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6"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9"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8" fontId="22" fillId="0" borderId="0" xfId="257" applyNumberFormat="1" applyFont="1" applyAlignment="1" applyProtection="1">
      <alignment horizontal="center"/>
    </xf>
    <xf numFmtId="189"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17" xfId="257" applyNumberFormat="1" applyFont="1" applyFill="1" applyBorder="1" applyAlignment="1" applyProtection="1"/>
    <xf numFmtId="169" fontId="4" fillId="0" borderId="0"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7"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2" applyFont="1" applyFill="1" applyProtection="1"/>
    <xf numFmtId="0" fontId="93" fillId="0" borderId="0" xfId="262" applyFont="1" applyProtection="1"/>
    <xf numFmtId="185"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2"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5"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5"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5" fontId="17" fillId="0" borderId="0" xfId="258" applyNumberFormat="1" applyFont="1" applyAlignment="1" applyProtection="1">
      <alignment horizontal="center"/>
    </xf>
    <xf numFmtId="0" fontId="70" fillId="0" borderId="0" xfId="258" applyFont="1" applyProtection="1"/>
    <xf numFmtId="185" fontId="71" fillId="0" borderId="0" xfId="258" applyNumberFormat="1" applyFont="1" applyProtection="1"/>
    <xf numFmtId="0" fontId="17" fillId="0" borderId="0" xfId="258" applyFont="1" applyProtection="1"/>
    <xf numFmtId="185"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5"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5"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7"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5"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Fill="1" applyProtection="1"/>
    <xf numFmtId="0" fontId="2" fillId="0" borderId="0" xfId="260" applyFont="1" applyFill="1" applyBorder="1" applyProtection="1"/>
    <xf numFmtId="192" fontId="2" fillId="0" borderId="0" xfId="260" applyNumberFormat="1" applyFill="1" applyProtection="1"/>
    <xf numFmtId="0" fontId="2" fillId="0" borderId="0" xfId="260" applyFont="1" applyFill="1" applyBorder="1" applyAlignment="1" applyProtection="1">
      <alignment wrapText="1"/>
    </xf>
    <xf numFmtId="0" fontId="0" fillId="0" borderId="0" xfId="0" applyFill="1" applyBorder="1" applyAlignment="1" applyProtection="1">
      <alignment wrapText="1"/>
    </xf>
    <xf numFmtId="0" fontId="105" fillId="0" borderId="32" xfId="260" applyFont="1" applyFill="1" applyBorder="1" applyProtection="1"/>
    <xf numFmtId="0" fontId="81" fillId="0" borderId="2" xfId="260" applyFont="1" applyFill="1" applyBorder="1" applyAlignment="1" applyProtection="1">
      <alignment horizontal="center"/>
    </xf>
    <xf numFmtId="0" fontId="81" fillId="0" borderId="33" xfId="260" applyFont="1" applyFill="1" applyBorder="1" applyAlignment="1" applyProtection="1">
      <alignment horizontal="center"/>
    </xf>
    <xf numFmtId="0" fontId="2" fillId="0" borderId="34" xfId="260" applyFont="1" applyFill="1" applyBorder="1" applyProtection="1"/>
    <xf numFmtId="3" fontId="2" fillId="0" borderId="0" xfId="260" applyNumberFormat="1" applyFont="1" applyFill="1" applyBorder="1" applyProtection="1"/>
    <xf numFmtId="3" fontId="2" fillId="0" borderId="35" xfId="260" applyNumberFormat="1" applyFill="1" applyBorder="1" applyProtection="1"/>
    <xf numFmtId="0" fontId="4" fillId="0" borderId="34" xfId="260" applyFont="1" applyFill="1" applyBorder="1" applyProtection="1"/>
    <xf numFmtId="0" fontId="2" fillId="0" borderId="36" xfId="260" applyFont="1" applyFill="1" applyBorder="1" applyProtection="1"/>
    <xf numFmtId="10" fontId="2" fillId="0" borderId="11" xfId="269" applyNumberFormat="1" applyFont="1" applyFill="1" applyBorder="1" applyAlignment="1" applyProtection="1">
      <alignment horizontal="center"/>
    </xf>
    <xf numFmtId="10" fontId="76" fillId="0" borderId="37" xfId="269" applyNumberFormat="1" applyFont="1" applyFill="1" applyBorder="1" applyAlignment="1" applyProtection="1">
      <alignment horizontal="center"/>
    </xf>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94"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50"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30" borderId="11" xfId="258" applyNumberFormat="1" applyFont="1" applyFill="1" applyBorder="1" applyProtection="1">
      <protection locked="0"/>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51"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8"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8" xfId="162" applyNumberFormat="1" applyFont="1" applyFill="1" applyBorder="1" applyAlignment="1"/>
    <xf numFmtId="37" fontId="11" fillId="0" borderId="39" xfId="162" applyNumberFormat="1" applyFont="1" applyFill="1" applyBorder="1" applyAlignment="1"/>
    <xf numFmtId="37" fontId="11" fillId="0" borderId="0" xfId="162" applyNumberFormat="1" applyFill="1" applyAlignment="1"/>
    <xf numFmtId="37" fontId="11" fillId="0" borderId="40"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8"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3" fillId="0" borderId="39" xfId="162" applyNumberFormat="1" applyFont="1" applyFill="1" applyBorder="1" applyAlignment="1"/>
    <xf numFmtId="37" fontId="153" fillId="0" borderId="0" xfId="162" applyNumberFormat="1" applyFont="1" applyFill="1" applyAlignment="1"/>
    <xf numFmtId="4" fontId="11" fillId="0" borderId="0" xfId="162" applyNumberFormat="1" applyFont="1" applyFill="1" applyAlignment="1">
      <alignment horizontal="center"/>
    </xf>
    <xf numFmtId="195" fontId="7" fillId="30" borderId="0" xfId="251" applyNumberFormat="1" applyFont="1" applyFill="1" applyProtection="1">
      <protection locked="0"/>
    </xf>
    <xf numFmtId="3" fontId="11" fillId="33" borderId="0" xfId="162" applyNumberFormat="1" applyFont="1" applyFill="1" applyAlignment="1"/>
    <xf numFmtId="0" fontId="11" fillId="33" borderId="0" xfId="162" applyFill="1"/>
    <xf numFmtId="3" fontId="11" fillId="33" borderId="0" xfId="162" applyNumberFormat="1" applyFont="1" applyFill="1" applyAlignment="1" applyProtection="1">
      <alignment horizontal="center"/>
      <protection locked="0"/>
    </xf>
    <xf numFmtId="0" fontId="11" fillId="33" borderId="0" xfId="162" applyFont="1" applyFill="1" applyAlignment="1">
      <alignment horizontal="center"/>
    </xf>
    <xf numFmtId="0" fontId="12" fillId="33" borderId="0" xfId="162" applyFont="1" applyFill="1" applyAlignment="1">
      <alignment horizontal="center"/>
    </xf>
    <xf numFmtId="41" fontId="7" fillId="30" borderId="0" xfId="252" applyNumberFormat="1" applyFont="1" applyFill="1"/>
    <xf numFmtId="3" fontId="8" fillId="0" borderId="0" xfId="162" applyNumberFormat="1" applyFont="1" applyFill="1" applyAlignment="1">
      <alignment horizontal="left"/>
    </xf>
    <xf numFmtId="195" fontId="7" fillId="30" borderId="0" xfId="252" applyNumberFormat="1" applyFont="1" applyFill="1" applyProtection="1">
      <protection locked="0"/>
    </xf>
    <xf numFmtId="173" fontId="77" fillId="30" borderId="0" xfId="258" applyNumberFormat="1" applyFont="1" applyFill="1" applyBorder="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2" xfId="0" applyNumberFormat="1" applyFont="1" applyBorder="1" applyAlignment="1">
      <alignment horizontal="center" wrapText="1"/>
    </xf>
    <xf numFmtId="0" fontId="8" fillId="0" borderId="33"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61" applyFont="1" applyBorder="1" applyAlignment="1">
      <alignment horizontal="center"/>
    </xf>
    <xf numFmtId="0" fontId="8" fillId="0" borderId="0" xfId="261" applyFont="1" applyBorder="1" applyAlignment="1">
      <alignment horizontal="center"/>
    </xf>
    <xf numFmtId="0" fontId="8" fillId="0" borderId="35" xfId="249"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7" xfId="207" applyNumberFormat="1" applyFont="1" applyFill="1" applyBorder="1" applyAlignment="1">
      <alignment horizontal="center" wrapText="1"/>
    </xf>
    <xf numFmtId="0" fontId="11" fillId="0" borderId="35" xfId="261" quotePrefix="1" applyFont="1" applyBorder="1" applyAlignment="1">
      <alignment horizontal="left"/>
    </xf>
    <xf numFmtId="0" fontId="11" fillId="0" borderId="35" xfId="261" applyFont="1" applyBorder="1"/>
    <xf numFmtId="0" fontId="11" fillId="0" borderId="36" xfId="0" applyNumberFormat="1" applyFont="1" applyBorder="1" applyAlignment="1">
      <alignment horizontal="center"/>
    </xf>
    <xf numFmtId="0" fontId="11" fillId="0" borderId="37" xfId="261" applyFont="1" applyBorder="1"/>
    <xf numFmtId="0" fontId="11" fillId="0" borderId="37"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5"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2" xfId="0" applyNumberFormat="1" applyFont="1" applyBorder="1" applyAlignment="1">
      <alignment horizontal="center"/>
    </xf>
    <xf numFmtId="0" fontId="8" fillId="0" borderId="2" xfId="26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61" applyFont="1" applyBorder="1" applyAlignment="1">
      <alignment horizontal="center" wrapText="1"/>
    </xf>
    <xf numFmtId="0" fontId="8" fillId="0" borderId="34" xfId="261" applyFont="1" applyBorder="1" applyAlignment="1">
      <alignment horizontal="center"/>
    </xf>
    <xf numFmtId="3" fontId="11" fillId="0" borderId="36"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61" quotePrefix="1" applyFont="1" applyBorder="1" applyAlignment="1">
      <alignment horizontal="left"/>
    </xf>
    <xf numFmtId="0" fontId="11" fillId="0" borderId="0" xfId="261" applyFont="1" applyBorder="1"/>
    <xf numFmtId="0" fontId="11" fillId="0" borderId="11" xfId="261" applyFont="1" applyBorder="1"/>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50"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7" applyNumberFormat="1" applyFont="1" applyFill="1" applyBorder="1" applyAlignment="1" applyProtection="1"/>
    <xf numFmtId="0" fontId="11" fillId="0" borderId="33" xfId="0" applyFont="1" applyBorder="1" applyAlignment="1"/>
    <xf numFmtId="3" fontId="11" fillId="0" borderId="37" xfId="207" applyNumberFormat="1" applyFont="1" applyFill="1" applyBorder="1" applyAlignment="1">
      <alignment horizontal="center" wrapText="1"/>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2" applyFont="1"/>
    <xf numFmtId="0" fontId="11" fillId="0" borderId="32" xfId="162" applyNumberFormat="1" applyFont="1" applyBorder="1" applyAlignment="1">
      <alignment horizontal="center" wrapText="1"/>
    </xf>
    <xf numFmtId="0" fontId="8" fillId="0" borderId="44" xfId="261" applyFont="1" applyBorder="1" applyAlignment="1">
      <alignment horizontal="center" wrapText="1"/>
    </xf>
    <xf numFmtId="0" fontId="14" fillId="0" borderId="0" xfId="162" applyFont="1" applyAlignment="1">
      <alignment wrapText="1"/>
    </xf>
    <xf numFmtId="0" fontId="11" fillId="0" borderId="34" xfId="162" applyNumberFormat="1" applyFont="1" applyBorder="1" applyAlignment="1">
      <alignment horizontal="center"/>
    </xf>
    <xf numFmtId="0" fontId="8" fillId="0" borderId="10" xfId="261" applyFont="1" applyBorder="1" applyAlignment="1">
      <alignment horizontal="center"/>
    </xf>
    <xf numFmtId="0" fontId="133" fillId="0" borderId="0" xfId="162" applyFont="1" applyAlignment="1"/>
    <xf numFmtId="3" fontId="23" fillId="0" borderId="36"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61" applyNumberFormat="1" applyFont="1" applyFill="1" applyBorder="1"/>
    <xf numFmtId="0" fontId="11" fillId="0" borderId="36"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2"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1"/>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1"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1" applyFont="1" applyProtection="1"/>
    <xf numFmtId="0" fontId="11" fillId="0" borderId="0" xfId="257"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1"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196"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197"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2" applyFont="1" applyFill="1" applyBorder="1" applyProtection="1"/>
    <xf numFmtId="0" fontId="11" fillId="0" borderId="0" xfId="181"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2" applyNumberFormat="1" applyFont="1" applyAlignment="1"/>
    <xf numFmtId="0" fontId="11" fillId="0" borderId="0" xfId="252"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88"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2" applyNumberFormat="1" applyFont="1"/>
    <xf numFmtId="0" fontId="8" fillId="0" borderId="0" xfId="250"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5" fontId="11" fillId="0" borderId="0" xfId="258" applyNumberFormat="1" applyFont="1" applyFill="1"/>
    <xf numFmtId="0" fontId="11" fillId="0" borderId="0" xfId="253" applyFont="1" applyFill="1" applyAlignment="1" applyProtection="1">
      <alignment horizontal="left"/>
    </xf>
    <xf numFmtId="0" fontId="11" fillId="0" borderId="0" xfId="181"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6" applyFont="1" applyBorder="1" applyAlignment="1" applyProtection="1"/>
    <xf numFmtId="170" fontId="143" fillId="30" borderId="0" xfId="256"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7" applyFont="1" applyProtection="1"/>
    <xf numFmtId="3" fontId="143" fillId="30" borderId="0" xfId="110"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7" applyNumberFormat="1" applyFont="1" applyFill="1" applyAlignment="1" applyProtection="1">
      <alignment horizontal="left" indent="2"/>
    </xf>
    <xf numFmtId="43" fontId="11" fillId="30" borderId="0" xfId="86" applyFont="1" applyFill="1" applyBorder="1" applyProtection="1">
      <protection locked="0"/>
    </xf>
    <xf numFmtId="43" fontId="7" fillId="30" borderId="0" xfId="86" applyFont="1" applyFill="1" applyBorder="1" applyAlignment="1" applyProtection="1">
      <alignment horizontal="right"/>
      <protection locked="0"/>
    </xf>
    <xf numFmtId="43" fontId="7" fillId="30" borderId="11" xfId="86" applyFont="1" applyFill="1" applyBorder="1" applyAlignment="1" applyProtection="1">
      <alignment horizontal="right"/>
      <protection locked="0"/>
    </xf>
    <xf numFmtId="43" fontId="7" fillId="30" borderId="0" xfId="86" applyFont="1" applyFill="1" applyBorder="1" applyAlignment="1" applyProtection="1">
      <alignment horizontal="left"/>
      <protection locked="0"/>
    </xf>
    <xf numFmtId="43" fontId="7" fillId="30" borderId="0" xfId="86" applyFont="1" applyFill="1" applyBorder="1" applyAlignment="1" applyProtection="1">
      <alignment horizontal="center"/>
      <protection locked="0"/>
    </xf>
    <xf numFmtId="0" fontId="122" fillId="0" borderId="29" xfId="0" applyFont="1" applyFill="1" applyBorder="1" applyAlignment="1" applyProtection="1">
      <alignment horizontal="center" wrapText="1"/>
    </xf>
    <xf numFmtId="0" fontId="5" fillId="0" borderId="0" xfId="207" quotePrefix="1" applyFont="1" applyBorder="1" applyAlignment="1">
      <alignment horizontal="center" wrapText="1"/>
    </xf>
    <xf numFmtId="0" fontId="12" fillId="0" borderId="0" xfId="0" applyFont="1" applyAlignment="1">
      <alignment wrapText="1"/>
    </xf>
    <xf numFmtId="170" fontId="145" fillId="0" borderId="0" xfId="0" applyNumberFormat="1" applyFont="1" applyFill="1" applyAlignment="1" applyProtection="1">
      <alignment horizontal="right"/>
    </xf>
    <xf numFmtId="170" fontId="145" fillId="0" borderId="0" xfId="0" applyNumberFormat="1" applyFont="1" applyFill="1" applyAlignment="1" applyProtection="1">
      <alignment horizontal="center"/>
    </xf>
    <xf numFmtId="0" fontId="121" fillId="0" borderId="0" xfId="0" applyNumberFormat="1" applyFont="1" applyFill="1" applyAlignment="1" applyProtection="1">
      <alignment horizontal="center"/>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Fill="1" applyAlignment="1" applyProtection="1">
      <alignment horizontal="center"/>
    </xf>
    <xf numFmtId="10" fontId="4" fillId="0" borderId="0" xfId="270" applyNumberFormat="1" applyFont="1" applyFill="1" applyAlignment="1" applyProtection="1"/>
    <xf numFmtId="41" fontId="18" fillId="30" borderId="6" xfId="257" applyNumberFormat="1" applyFont="1" applyFill="1" applyBorder="1" applyAlignment="1" applyProtection="1">
      <alignment vertical="center"/>
      <protection locked="0"/>
    </xf>
    <xf numFmtId="37" fontId="153" fillId="30" borderId="0" xfId="0" applyNumberFormat="1" applyFont="1" applyFill="1" applyProtection="1">
      <protection locked="0"/>
    </xf>
    <xf numFmtId="171" fontId="139" fillId="34" borderId="0" xfId="256" applyNumberFormat="1" applyFont="1" applyFill="1" applyBorder="1" applyAlignment="1" applyProtection="1">
      <protection locked="0"/>
    </xf>
    <xf numFmtId="0" fontId="17" fillId="0" borderId="0" xfId="258" applyFont="1" applyAlignment="1">
      <alignment horizontal="center"/>
    </xf>
    <xf numFmtId="10" fontId="2" fillId="0" borderId="0" xfId="260" applyNumberFormat="1" applyFill="1" applyBorder="1" applyProtection="1"/>
    <xf numFmtId="0" fontId="23" fillId="0" borderId="0" xfId="210" applyFont="1"/>
    <xf numFmtId="0" fontId="23" fillId="0" borderId="0" xfId="210" applyFont="1" applyAlignment="1">
      <alignment horizontal="center"/>
    </xf>
    <xf numFmtId="0" fontId="11" fillId="0" borderId="0" xfId="210" applyFont="1" applyAlignment="1">
      <alignment horizontal="right"/>
    </xf>
    <xf numFmtId="14" fontId="23" fillId="0" borderId="0" xfId="210" applyNumberFormat="1" applyFont="1"/>
    <xf numFmtId="0" fontId="23" fillId="0" borderId="0" xfId="162" applyFont="1"/>
    <xf numFmtId="9" fontId="23" fillId="0" borderId="0" xfId="269" applyFont="1"/>
    <xf numFmtId="41" fontId="23" fillId="0" borderId="0" xfId="210" applyNumberFormat="1" applyFont="1"/>
    <xf numFmtId="10" fontId="23" fillId="0" borderId="0" xfId="271"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Border="1" applyAlignment="1">
      <alignment horizontal="center" wrapText="1"/>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51"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51"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4"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4" xfId="251"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51"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10" fontId="4" fillId="0" borderId="0" xfId="257" applyNumberFormat="1" applyFont="1" applyFill="1" applyBorder="1" applyAlignment="1" applyProtection="1"/>
    <xf numFmtId="10" fontId="4" fillId="0" borderId="6" xfId="257" applyNumberFormat="1" applyFont="1" applyFill="1" applyBorder="1" applyAlignment="1" applyProtection="1"/>
    <xf numFmtId="10" fontId="4" fillId="0" borderId="6" xfId="270" applyNumberFormat="1" applyFont="1" applyFill="1" applyBorder="1" applyAlignment="1" applyProtection="1"/>
    <xf numFmtId="10" fontId="18" fillId="30" borderId="6" xfId="269" applyNumberFormat="1" applyFont="1" applyFill="1" applyBorder="1" applyAlignment="1" applyProtection="1">
      <protection locked="0"/>
    </xf>
    <xf numFmtId="0" fontId="4" fillId="0" borderId="0" xfId="0" applyFont="1" applyFill="1" applyAlignment="1"/>
    <xf numFmtId="0" fontId="4" fillId="0" borderId="0" xfId="0" applyFont="1" applyAlignment="1"/>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181" applyNumberFormat="1" applyFont="1"/>
    <xf numFmtId="0" fontId="11" fillId="0" borderId="0" xfId="181" applyFont="1"/>
    <xf numFmtId="0" fontId="4" fillId="0" borderId="0" xfId="181" applyFont="1" applyAlignment="1">
      <alignment horizontal="right"/>
    </xf>
    <xf numFmtId="173" fontId="11" fillId="0" borderId="0" xfId="88" applyNumberFormat="1" applyFont="1"/>
    <xf numFmtId="0" fontId="23" fillId="0" borderId="0" xfId="211" applyFont="1" applyAlignment="1">
      <alignment horizontal="right"/>
    </xf>
    <xf numFmtId="0" fontId="11" fillId="0" borderId="0" xfId="211" applyFont="1" applyAlignment="1">
      <alignment horizontal="right"/>
    </xf>
    <xf numFmtId="0" fontId="11" fillId="0" borderId="0" xfId="225" applyFont="1"/>
    <xf numFmtId="41" fontId="8" fillId="0" borderId="0" xfId="251" applyNumberFormat="1" applyFont="1" applyFill="1" applyBorder="1" applyAlignment="1" applyProtection="1">
      <alignment horizontal="center"/>
      <protection locked="0"/>
    </xf>
    <xf numFmtId="2" fontId="11" fillId="0" borderId="0" xfId="181" applyNumberFormat="1" applyFont="1" applyAlignment="1">
      <alignment horizontal="center"/>
    </xf>
    <xf numFmtId="0" fontId="11" fillId="0" borderId="0" xfId="181" applyFont="1" applyAlignment="1">
      <alignment horizontal="center"/>
    </xf>
    <xf numFmtId="2" fontId="11" fillId="0" borderId="0" xfId="181" applyNumberFormat="1" applyFont="1"/>
    <xf numFmtId="0" fontId="11" fillId="0" borderId="0" xfId="181" applyFont="1" applyAlignment="1">
      <alignment wrapText="1"/>
    </xf>
    <xf numFmtId="0" fontId="11" fillId="0" borderId="0" xfId="181" applyFont="1" applyAlignment="1">
      <alignment horizontal="center" wrapText="1"/>
    </xf>
    <xf numFmtId="0" fontId="11" fillId="0" borderId="0" xfId="181" applyFont="1" applyFill="1" applyAlignment="1">
      <alignment horizontal="center" wrapText="1"/>
    </xf>
    <xf numFmtId="0" fontId="11" fillId="0" borderId="0" xfId="181" applyFont="1" applyFill="1"/>
    <xf numFmtId="1" fontId="11" fillId="0" borderId="0" xfId="181" applyNumberFormat="1" applyFont="1" applyAlignment="1">
      <alignment horizontal="center"/>
    </xf>
    <xf numFmtId="49" fontId="11" fillId="0" borderId="0" xfId="88" applyNumberFormat="1" applyFont="1"/>
    <xf numFmtId="173" fontId="11" fillId="0" borderId="11" xfId="88" applyNumberFormat="1" applyFont="1" applyBorder="1"/>
    <xf numFmtId="173" fontId="11" fillId="0" borderId="0" xfId="88" applyNumberFormat="1" applyFont="1" applyFill="1"/>
    <xf numFmtId="10" fontId="11" fillId="0" borderId="0" xfId="273" applyNumberFormat="1" applyFont="1" applyFill="1" applyAlignment="1"/>
    <xf numFmtId="9" fontId="11" fillId="0" borderId="0" xfId="273" applyNumberFormat="1" applyFont="1"/>
    <xf numFmtId="9" fontId="11" fillId="0" borderId="0" xfId="273" applyFont="1" applyFill="1"/>
    <xf numFmtId="43" fontId="11" fillId="0" borderId="0" xfId="88" applyNumberFormat="1" applyFont="1" applyFill="1"/>
    <xf numFmtId="10" fontId="11" fillId="0" borderId="0" xfId="273" applyNumberFormat="1" applyFont="1" applyFill="1"/>
    <xf numFmtId="173" fontId="11" fillId="0" borderId="13" xfId="88" applyNumberFormat="1" applyFont="1" applyBorder="1"/>
    <xf numFmtId="173" fontId="11" fillId="0" borderId="0" xfId="88" applyNumberFormat="1" applyFont="1" applyBorder="1"/>
    <xf numFmtId="10" fontId="11" fillId="0" borderId="0" xfId="273" applyNumberFormat="1" applyFont="1"/>
    <xf numFmtId="9" fontId="11" fillId="0" borderId="0" xfId="273" applyFont="1"/>
    <xf numFmtId="0" fontId="14" fillId="0" borderId="0" xfId="181" applyFont="1"/>
    <xf numFmtId="0" fontId="14" fillId="0" borderId="0" xfId="181" applyFont="1" applyAlignment="1">
      <alignment vertical="top"/>
    </xf>
    <xf numFmtId="0" fontId="11" fillId="0" borderId="0" xfId="181" applyFont="1" applyAlignment="1">
      <alignment vertical="center"/>
    </xf>
    <xf numFmtId="0" fontId="153" fillId="0" borderId="0" xfId="181" applyFont="1" applyAlignment="1">
      <alignment vertical="center"/>
    </xf>
    <xf numFmtId="0" fontId="153" fillId="0" borderId="0" xfId="181" applyFont="1" applyAlignment="1">
      <alignment vertical="center" wrapText="1"/>
    </xf>
    <xf numFmtId="0" fontId="11" fillId="0" borderId="0" xfId="181" applyFont="1" applyAlignment="1"/>
    <xf numFmtId="2" fontId="11" fillId="0" borderId="0" xfId="181" applyNumberFormat="1" applyFont="1" applyAlignment="1"/>
    <xf numFmtId="0" fontId="11" fillId="0" borderId="0" xfId="181" applyAlignment="1"/>
    <xf numFmtId="170" fontId="143" fillId="30" borderId="0" xfId="256" applyNumberFormat="1" applyFont="1" applyFill="1" applyAlignment="1" applyProtection="1">
      <alignment horizontal="right"/>
      <protection locked="0"/>
    </xf>
    <xf numFmtId="3" fontId="4" fillId="30" borderId="0" xfId="0" quotePrefix="1" applyNumberFormat="1" applyFont="1" applyFill="1" applyAlignment="1" applyProtection="1">
      <alignment horizontal="center"/>
      <protection locked="0"/>
    </xf>
    <xf numFmtId="173" fontId="7" fillId="26" borderId="33" xfId="107" applyNumberFormat="1" applyFont="1" applyFill="1" applyBorder="1" applyAlignment="1" applyProtection="1">
      <protection locked="0"/>
    </xf>
    <xf numFmtId="173" fontId="7" fillId="26" borderId="35" xfId="107" applyNumberFormat="1" applyFont="1" applyFill="1" applyBorder="1" applyAlignment="1" applyProtection="1">
      <protection locked="0"/>
    </xf>
    <xf numFmtId="173" fontId="7" fillId="26" borderId="37" xfId="107" applyNumberFormat="1" applyFont="1" applyFill="1" applyBorder="1" applyAlignment="1" applyProtection="1">
      <protection locked="0"/>
    </xf>
    <xf numFmtId="41" fontId="7" fillId="0" borderId="0" xfId="251" applyNumberFormat="1" applyFont="1" applyFill="1" applyProtection="1">
      <protection locked="0"/>
    </xf>
    <xf numFmtId="37" fontId="0" fillId="33" borderId="0" xfId="0" applyNumberFormat="1" applyFill="1"/>
    <xf numFmtId="0" fontId="121" fillId="0" borderId="0" xfId="0" applyFont="1"/>
    <xf numFmtId="37" fontId="1" fillId="0" borderId="0" xfId="162" applyNumberFormat="1" applyFont="1" applyFill="1" applyAlignment="1"/>
    <xf numFmtId="0" fontId="4" fillId="0" borderId="0" xfId="0" applyFont="1" applyFill="1" applyAlignment="1" applyProtection="1">
      <alignment horizontal="left" vertical="top" wrapText="1"/>
    </xf>
    <xf numFmtId="172" fontId="4" fillId="0" borderId="0" xfId="257" applyFont="1" applyAlignment="1" applyProtection="1">
      <alignment horizontal="left"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11" fillId="0" borderId="0" xfId="0" applyFont="1" applyAlignment="1" applyProtection="1">
      <alignment wrapText="1"/>
    </xf>
    <xf numFmtId="0" fontId="31" fillId="0" borderId="0" xfId="0" applyFont="1" applyAlignment="1" applyProtection="1">
      <alignment wrapText="1"/>
    </xf>
    <xf numFmtId="0" fontId="4" fillId="0" borderId="0" xfId="257" applyNumberFormat="1" applyFont="1" applyFill="1" applyAlignment="1" applyProtection="1">
      <alignment wrapText="1"/>
    </xf>
    <xf numFmtId="0" fontId="4" fillId="32" borderId="0" xfId="257" applyNumberFormat="1" applyFont="1" applyFill="1" applyAlignment="1" applyProtection="1">
      <alignment horizontal="left" vertical="top" wrapText="1"/>
    </xf>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0" xfId="210" applyFont="1" applyBorder="1" applyAlignment="1">
      <alignment horizontal="center" wrapText="1"/>
    </xf>
    <xf numFmtId="0" fontId="23" fillId="0" borderId="0" xfId="210" applyFont="1" applyAlignment="1">
      <alignment horizontal="left" vertical="top" wrapText="1"/>
    </xf>
    <xf numFmtId="41" fontId="23" fillId="30" borderId="34" xfId="251"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Fill="1" applyAlignment="1">
      <alignment horizontal="left" vertical="top" wrapText="1"/>
    </xf>
    <xf numFmtId="2" fontId="11" fillId="0" borderId="0" xfId="181" applyNumberFormat="1" applyFont="1" applyAlignment="1">
      <alignment horizontal="left"/>
    </xf>
    <xf numFmtId="41" fontId="8" fillId="0" borderId="0" xfId="251" applyNumberFormat="1" applyFont="1" applyFill="1" applyBorder="1" applyAlignment="1" applyProtection="1">
      <alignment horizontal="center"/>
      <protection locked="0"/>
    </xf>
    <xf numFmtId="0" fontId="11" fillId="0" borderId="0" xfId="181" applyFont="1" applyAlignment="1">
      <alignment vertical="center" wrapText="1"/>
    </xf>
    <xf numFmtId="0" fontId="11" fillId="0" borderId="0" xfId="181" applyFont="1" applyAlignment="1">
      <alignment horizontal="left" vertical="top" wrapText="1"/>
    </xf>
    <xf numFmtId="0" fontId="11" fillId="0" borderId="0" xfId="181" applyFont="1" applyAlignment="1">
      <alignment horizontal="left" wrapText="1"/>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0" fontId="154"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11" fillId="0" borderId="0" xfId="252" applyFont="1" applyFill="1" applyAlignment="1" applyProtection="1">
      <alignment horizontal="left" wrapText="1"/>
    </xf>
    <xf numFmtId="0" fontId="11" fillId="0" borderId="0" xfId="181" applyFont="1" applyFill="1" applyAlignment="1" applyProtection="1">
      <alignment wrapText="1"/>
    </xf>
    <xf numFmtId="0" fontId="111" fillId="0" borderId="0" xfId="252"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9" fillId="30" borderId="0" xfId="0" applyFont="1" applyFill="1" applyAlignment="1" applyProtection="1">
      <alignment wrapText="1"/>
      <protection locked="0"/>
    </xf>
    <xf numFmtId="0" fontId="139" fillId="0" borderId="0" xfId="0" applyFont="1" applyAlignment="1" applyProtection="1">
      <alignment horizontal="left" vertic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0" fontId="76" fillId="0" borderId="11" xfId="260" applyFont="1" applyFill="1" applyBorder="1" applyAlignment="1" applyProtection="1">
      <alignment wrapText="1"/>
    </xf>
    <xf numFmtId="0" fontId="0" fillId="0" borderId="11" xfId="0" applyFill="1" applyBorder="1" applyAlignment="1" applyProtection="1">
      <alignment wrapText="1"/>
    </xf>
    <xf numFmtId="0" fontId="5" fillId="0" borderId="0" xfId="260" applyFont="1" applyAlignment="1" applyProtection="1">
      <alignment horizontal="left" wrapText="1"/>
    </xf>
    <xf numFmtId="0" fontId="4" fillId="0" borderId="0" xfId="260" applyFont="1" applyAlignment="1" applyProtection="1">
      <alignment horizontal="left" wrapText="1"/>
    </xf>
    <xf numFmtId="0" fontId="101" fillId="0" borderId="0" xfId="260" applyFont="1" applyAlignment="1" applyProtection="1">
      <alignment horizontal="center"/>
    </xf>
    <xf numFmtId="0" fontId="101" fillId="0" borderId="0" xfId="260" applyFont="1" applyFill="1" applyAlignment="1" applyProtection="1">
      <alignment horizontal="center"/>
    </xf>
    <xf numFmtId="3" fontId="101" fillId="0" borderId="0" xfId="260" applyNumberFormat="1" applyFont="1" applyAlignment="1" applyProtection="1">
      <alignment horizontal="center"/>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3" fillId="0" borderId="0" xfId="0" applyFont="1" applyFill="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center" wrapText="1"/>
    </xf>
  </cellXfs>
  <cellStyles count="33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5" xfId="187" xr:uid="{00000000-0005-0000-0000-0000BB000000}"/>
    <cellStyle name="Normal 2 5 2" xfId="188" xr:uid="{00000000-0005-0000-0000-0000BC000000}"/>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1" xfId="210" xr:uid="{00000000-0005-0000-0000-0000D2000000}"/>
    <cellStyle name="Normal 31 2" xfId="211" xr:uid="{00000000-0005-0000-0000-0000D3000000}"/>
    <cellStyle name="Normal 4" xfId="212" xr:uid="{00000000-0005-0000-0000-0000D4000000}"/>
    <cellStyle name="Normal 4 2" xfId="213" xr:uid="{00000000-0005-0000-0000-0000D5000000}"/>
    <cellStyle name="Normal 4 3" xfId="214" xr:uid="{00000000-0005-0000-0000-0000D6000000}"/>
    <cellStyle name="Normal 4 3 2" xfId="215" xr:uid="{00000000-0005-0000-0000-0000D7000000}"/>
    <cellStyle name="Normal 4 3 3" xfId="216" xr:uid="{00000000-0005-0000-0000-0000D8000000}"/>
    <cellStyle name="Normal 4 4" xfId="217" xr:uid="{00000000-0005-0000-0000-0000D9000000}"/>
    <cellStyle name="Normal 4 4 2" xfId="218" xr:uid="{00000000-0005-0000-0000-0000DA000000}"/>
    <cellStyle name="Normal 4 4 3" xfId="219" xr:uid="{00000000-0005-0000-0000-0000DB000000}"/>
    <cellStyle name="Normal 4 5" xfId="220" xr:uid="{00000000-0005-0000-0000-0000DC000000}"/>
    <cellStyle name="Normal 4 5 2" xfId="221" xr:uid="{00000000-0005-0000-0000-0000DD000000}"/>
    <cellStyle name="Normal 4 6" xfId="222" xr:uid="{00000000-0005-0000-0000-0000DE000000}"/>
    <cellStyle name="Normal 4 7" xfId="223" xr:uid="{00000000-0005-0000-0000-0000DF000000}"/>
    <cellStyle name="Normal 4_PBOP Exhibit 1" xfId="224" xr:uid="{00000000-0005-0000-0000-0000E0000000}"/>
    <cellStyle name="Normal 5" xfId="225" xr:uid="{00000000-0005-0000-0000-0000E1000000}"/>
    <cellStyle name="Normal 5 2" xfId="226" xr:uid="{00000000-0005-0000-0000-0000E2000000}"/>
    <cellStyle name="Normal 5 2 2" xfId="227" xr:uid="{00000000-0005-0000-0000-0000E3000000}"/>
    <cellStyle name="Normal 5 2 3" xfId="228" xr:uid="{00000000-0005-0000-0000-0000E4000000}"/>
    <cellStyle name="Normal 5 3" xfId="229" xr:uid="{00000000-0005-0000-0000-0000E5000000}"/>
    <cellStyle name="Normal 5 4" xfId="230" xr:uid="{00000000-0005-0000-0000-0000E6000000}"/>
    <cellStyle name="Normal 5 4 2" xfId="231" xr:uid="{00000000-0005-0000-0000-0000E7000000}"/>
    <cellStyle name="Normal 6 2" xfId="232" xr:uid="{00000000-0005-0000-0000-0000E8000000}"/>
    <cellStyle name="Normal 6 2 2" xfId="233" xr:uid="{00000000-0005-0000-0000-0000E9000000}"/>
    <cellStyle name="Normal 6 2 3" xfId="234" xr:uid="{00000000-0005-0000-0000-0000EA000000}"/>
    <cellStyle name="Normal 6 2 4" xfId="235" xr:uid="{00000000-0005-0000-0000-0000EB000000}"/>
    <cellStyle name="Normal 6 3" xfId="236" xr:uid="{00000000-0005-0000-0000-0000EC000000}"/>
    <cellStyle name="Normal 6 3 2" xfId="237" xr:uid="{00000000-0005-0000-0000-0000ED000000}"/>
    <cellStyle name="Normal 6 4" xfId="238" xr:uid="{00000000-0005-0000-0000-0000EE000000}"/>
    <cellStyle name="Normal 6 5" xfId="239" xr:uid="{00000000-0005-0000-0000-0000EF000000}"/>
    <cellStyle name="Normal 7" xfId="240" xr:uid="{00000000-0005-0000-0000-0000F0000000}"/>
    <cellStyle name="Normal 7 2" xfId="241" xr:uid="{00000000-0005-0000-0000-0000F1000000}"/>
    <cellStyle name="Normal 7 3" xfId="242" xr:uid="{00000000-0005-0000-0000-0000F2000000}"/>
    <cellStyle name="Normal 8" xfId="243" xr:uid="{00000000-0005-0000-0000-0000F3000000}"/>
    <cellStyle name="Normal 8 2" xfId="244" xr:uid="{00000000-0005-0000-0000-0000F4000000}"/>
    <cellStyle name="Normal 8 3" xfId="245" xr:uid="{00000000-0005-0000-0000-0000F5000000}"/>
    <cellStyle name="Normal 9" xfId="246" xr:uid="{00000000-0005-0000-0000-0000F6000000}"/>
    <cellStyle name="Normal 9 2" xfId="247" xr:uid="{00000000-0005-0000-0000-0000F7000000}"/>
    <cellStyle name="Normal 9 3" xfId="248" xr:uid="{00000000-0005-0000-0000-0000F8000000}"/>
    <cellStyle name="Normal_21 Exh B" xfId="249" xr:uid="{00000000-0005-0000-0000-0000F9000000}"/>
    <cellStyle name="Normal_ADITAnalysisID090805" xfId="250" xr:uid="{00000000-0005-0000-0000-0000FA000000}"/>
    <cellStyle name="Normal_ADITAnalysisID090805 2" xfId="251" xr:uid="{00000000-0005-0000-0000-0000FB000000}"/>
    <cellStyle name="Normal_ADITAnalysisID090805 2 2" xfId="252" xr:uid="{00000000-0005-0000-0000-0000FC000000}"/>
    <cellStyle name="Normal_ADITAnalysisID090805 3" xfId="253" xr:uid="{00000000-0005-0000-0000-0000FD000000}"/>
    <cellStyle name="Normal_ATC Projected 2008 Monthly Plant Balances for Attachment O 2 (2)" xfId="254" xr:uid="{00000000-0005-0000-0000-0000FE000000}"/>
    <cellStyle name="Normal_AU Period 2 Rev 4-27-00" xfId="255" xr:uid="{00000000-0005-0000-0000-0000FF000000}"/>
    <cellStyle name="Normal_Copy of PATH Formula Rate 2010 Projection Filed Sept 1, 2009 R1" xfId="256" xr:uid="{00000000-0005-0000-0000-000000010000}"/>
    <cellStyle name="Normal_FN1 Ratebase Draft SPP template (6-11-04) v2" xfId="257" xr:uid="{00000000-0005-0000-0000-000001010000}"/>
    <cellStyle name="Normal_I&amp;M-AK-1" xfId="258" xr:uid="{00000000-0005-0000-0000-000002010000}"/>
    <cellStyle name="Normal_IM LTD Hedge Entries 2" xfId="259" xr:uid="{00000000-0005-0000-0000-000003010000}"/>
    <cellStyle name="Normal_Revised 1-21-10  Deprec Summary" xfId="260" xr:uid="{00000000-0005-0000-0000-000004010000}"/>
    <cellStyle name="Normal_Schedule O Info for Mike" xfId="261" xr:uid="{00000000-0005-0000-0000-000005010000}"/>
    <cellStyle name="Normal_spp calc - revsd rev crd" xfId="262" xr:uid="{00000000-0005-0000-0000-000006010000}"/>
    <cellStyle name="Normal_spp calc - revsd rev crd 2" xfId="263" xr:uid="{00000000-0005-0000-0000-000007010000}"/>
    <cellStyle name="Normal_Worksheet Q Draft dwb edits" xfId="264" xr:uid="{00000000-0005-0000-0000-000008010000}"/>
    <cellStyle name="Note" xfId="265" builtinId="10" customBuiltin="1"/>
    <cellStyle name="Note 2"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3" xfId="272" xr:uid="{00000000-0005-0000-0000-000010010000}"/>
    <cellStyle name="Percent 3 2" xfId="273" xr:uid="{00000000-0005-0000-0000-000011010000}"/>
    <cellStyle name="Percent 3 3" xfId="274" xr:uid="{00000000-0005-0000-0000-000012010000}"/>
    <cellStyle name="Percent 3 3 2" xfId="275" xr:uid="{00000000-0005-0000-0000-000013010000}"/>
    <cellStyle name="Percent 3 3 3" xfId="276" xr:uid="{00000000-0005-0000-0000-000014010000}"/>
    <cellStyle name="Percent 3 4" xfId="277" xr:uid="{00000000-0005-0000-0000-000015010000}"/>
    <cellStyle name="Percent 3 4 2" xfId="278" xr:uid="{00000000-0005-0000-0000-000016010000}"/>
    <cellStyle name="Percent 3 4 3" xfId="279" xr:uid="{00000000-0005-0000-0000-000017010000}"/>
    <cellStyle name="Percent 3 5" xfId="280" xr:uid="{00000000-0005-0000-0000-000018010000}"/>
    <cellStyle name="Percent 3 5 2" xfId="281" xr:uid="{00000000-0005-0000-0000-000019010000}"/>
    <cellStyle name="Percent 3 6" xfId="282" xr:uid="{00000000-0005-0000-0000-00001A010000}"/>
    <cellStyle name="Percent 4 2" xfId="283" xr:uid="{00000000-0005-0000-0000-00001B010000}"/>
    <cellStyle name="Percent 4 3" xfId="284" xr:uid="{00000000-0005-0000-0000-00001C010000}"/>
    <cellStyle name="Percent 4 3 2" xfId="285" xr:uid="{00000000-0005-0000-0000-00001D010000}"/>
    <cellStyle name="Percent 4 4" xfId="286" xr:uid="{00000000-0005-0000-0000-00001E010000}"/>
    <cellStyle name="Percent 5 2" xfId="287" xr:uid="{00000000-0005-0000-0000-00001F010000}"/>
    <cellStyle name="Percent 6" xfId="288" xr:uid="{00000000-0005-0000-0000-000020010000}"/>
    <cellStyle name="PSChar" xfId="289" xr:uid="{00000000-0005-0000-0000-000021010000}"/>
    <cellStyle name="PSDate" xfId="290" xr:uid="{00000000-0005-0000-0000-000022010000}"/>
    <cellStyle name="PSDec" xfId="291" xr:uid="{00000000-0005-0000-0000-000023010000}"/>
    <cellStyle name="PSdesc" xfId="292" xr:uid="{00000000-0005-0000-0000-000024010000}"/>
    <cellStyle name="PSHeading" xfId="293" xr:uid="{00000000-0005-0000-0000-000025010000}"/>
    <cellStyle name="PSInt" xfId="294" xr:uid="{00000000-0005-0000-0000-000026010000}"/>
    <cellStyle name="PSSpacer" xfId="295" xr:uid="{00000000-0005-0000-0000-000027010000}"/>
    <cellStyle name="PStest" xfId="296" xr:uid="{00000000-0005-0000-0000-000028010000}"/>
    <cellStyle name="R00A" xfId="297" xr:uid="{00000000-0005-0000-0000-000029010000}"/>
    <cellStyle name="R00B" xfId="298" xr:uid="{00000000-0005-0000-0000-00002A010000}"/>
    <cellStyle name="R00L" xfId="299" xr:uid="{00000000-0005-0000-0000-00002B010000}"/>
    <cellStyle name="R01A" xfId="300" xr:uid="{00000000-0005-0000-0000-00002C010000}"/>
    <cellStyle name="R01B" xfId="301" xr:uid="{00000000-0005-0000-0000-00002D010000}"/>
    <cellStyle name="R01H" xfId="302" xr:uid="{00000000-0005-0000-0000-00002E010000}"/>
    <cellStyle name="R01L" xfId="303" xr:uid="{00000000-0005-0000-0000-00002F010000}"/>
    <cellStyle name="R02A" xfId="304" xr:uid="{00000000-0005-0000-0000-000030010000}"/>
    <cellStyle name="R02B" xfId="305" xr:uid="{00000000-0005-0000-0000-000031010000}"/>
    <cellStyle name="R02H" xfId="306" xr:uid="{00000000-0005-0000-0000-000032010000}"/>
    <cellStyle name="R02L" xfId="307" xr:uid="{00000000-0005-0000-0000-000033010000}"/>
    <cellStyle name="R03A" xfId="308" xr:uid="{00000000-0005-0000-0000-000034010000}"/>
    <cellStyle name="R03B" xfId="309" xr:uid="{00000000-0005-0000-0000-000035010000}"/>
    <cellStyle name="R03H" xfId="310" xr:uid="{00000000-0005-0000-0000-000036010000}"/>
    <cellStyle name="R03L" xfId="311" xr:uid="{00000000-0005-0000-0000-000037010000}"/>
    <cellStyle name="R04A" xfId="312" xr:uid="{00000000-0005-0000-0000-000038010000}"/>
    <cellStyle name="R04B" xfId="313" xr:uid="{00000000-0005-0000-0000-000039010000}"/>
    <cellStyle name="R04H" xfId="314" xr:uid="{00000000-0005-0000-0000-00003A010000}"/>
    <cellStyle name="R04L" xfId="315" xr:uid="{00000000-0005-0000-0000-00003B010000}"/>
    <cellStyle name="R05A" xfId="316" xr:uid="{00000000-0005-0000-0000-00003C010000}"/>
    <cellStyle name="R05B" xfId="317" xr:uid="{00000000-0005-0000-0000-00003D010000}"/>
    <cellStyle name="R05H" xfId="318" xr:uid="{00000000-0005-0000-0000-00003E010000}"/>
    <cellStyle name="R05L" xfId="319" xr:uid="{00000000-0005-0000-0000-00003F010000}"/>
    <cellStyle name="R06A" xfId="320" xr:uid="{00000000-0005-0000-0000-000040010000}"/>
    <cellStyle name="R06B" xfId="321" xr:uid="{00000000-0005-0000-0000-000041010000}"/>
    <cellStyle name="R06H" xfId="322" xr:uid="{00000000-0005-0000-0000-000042010000}"/>
    <cellStyle name="R06L" xfId="323" xr:uid="{00000000-0005-0000-0000-000043010000}"/>
    <cellStyle name="R07A" xfId="324" xr:uid="{00000000-0005-0000-0000-000044010000}"/>
    <cellStyle name="R07B" xfId="325" xr:uid="{00000000-0005-0000-0000-000045010000}"/>
    <cellStyle name="R07H" xfId="326" xr:uid="{00000000-0005-0000-0000-000046010000}"/>
    <cellStyle name="R07L" xfId="327" xr:uid="{00000000-0005-0000-0000-000047010000}"/>
    <cellStyle name="Title" xfId="328" builtinId="15" customBuiltin="1"/>
    <cellStyle name="Title 2" xfId="329" xr:uid="{00000000-0005-0000-0000-000049010000}"/>
    <cellStyle name="Total" xfId="330" builtinId="25" customBuiltin="1"/>
    <cellStyle name="Total 2" xfId="331" xr:uid="{00000000-0005-0000-0000-00004B010000}"/>
    <cellStyle name="Warning Text" xfId="332" builtinId="11" customBuiltin="1"/>
    <cellStyle name="Warning Text 2" xfId="333" xr:uid="{00000000-0005-0000-0000-00004D010000}"/>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55" zoomScaleNormal="70" zoomScaleSheetLayoutView="55" zoomScalePageLayoutView="50" workbookViewId="0">
      <selection activeCell="A4" sqref="D4"/>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1.28515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4" t="s">
        <v>408</v>
      </c>
    </row>
    <row r="2" spans="1:16" ht="15.75">
      <c r="A2" s="1004" t="s">
        <v>408</v>
      </c>
    </row>
    <row r="3" spans="1:16" ht="15.75">
      <c r="D3" s="156"/>
      <c r="E3" s="157"/>
      <c r="F3" s="157"/>
      <c r="G3" s="158"/>
      <c r="I3" s="159"/>
      <c r="J3" s="159"/>
      <c r="K3" s="159"/>
      <c r="L3" s="160"/>
      <c r="N3" s="155" t="s">
        <v>408</v>
      </c>
      <c r="O3" s="161" t="s">
        <v>408</v>
      </c>
      <c r="P3" s="155" t="s">
        <v>408</v>
      </c>
    </row>
    <row r="4" spans="1:16">
      <c r="I4" s="155" t="s">
        <v>548</v>
      </c>
      <c r="L4" s="419">
        <v>2024</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801</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461</v>
      </c>
      <c r="C11" s="171"/>
      <c r="D11" s="165"/>
      <c r="E11" s="165"/>
      <c r="F11" s="165"/>
      <c r="G11" s="175"/>
      <c r="H11" s="165"/>
      <c r="I11" s="165"/>
      <c r="J11" s="165"/>
      <c r="K11" s="165"/>
      <c r="L11" s="171" t="s">
        <v>409</v>
      </c>
      <c r="M11" s="165"/>
    </row>
    <row r="12" spans="1:16" ht="15.75" thickBot="1">
      <c r="B12" s="177" t="s">
        <v>411</v>
      </c>
      <c r="C12" s="178"/>
      <c r="D12" s="165"/>
      <c r="E12" s="178"/>
      <c r="F12" s="165"/>
      <c r="G12" s="165"/>
      <c r="H12" s="165"/>
      <c r="I12" s="165"/>
      <c r="J12" s="165"/>
      <c r="K12" s="165"/>
      <c r="L12" s="179" t="s">
        <v>462</v>
      </c>
      <c r="M12" s="165"/>
    </row>
    <row r="13" spans="1:16">
      <c r="B13" s="170">
        <v>1</v>
      </c>
      <c r="C13" s="171"/>
      <c r="D13" s="180" t="s">
        <v>405</v>
      </c>
      <c r="E13" s="181" t="str">
        <f>"(ln "&amp;B191&amp;")"</f>
        <v>(ln 113)</v>
      </c>
      <c r="F13" s="181"/>
      <c r="G13" s="182"/>
      <c r="H13" s="183"/>
      <c r="I13" s="165"/>
      <c r="J13" s="165"/>
      <c r="K13" s="165"/>
      <c r="L13" s="184">
        <f>+L191</f>
        <v>16078629.132328153</v>
      </c>
      <c r="M13" s="165"/>
    </row>
    <row r="14" spans="1:16" ht="15.75" thickBot="1">
      <c r="B14" s="170"/>
      <c r="C14" s="171"/>
      <c r="E14" s="185"/>
      <c r="F14" s="186"/>
      <c r="G14" s="179" t="s">
        <v>412</v>
      </c>
      <c r="H14" s="168"/>
      <c r="I14" s="187" t="s">
        <v>413</v>
      </c>
      <c r="J14" s="187"/>
      <c r="K14" s="165"/>
      <c r="L14" s="182"/>
      <c r="M14" s="165"/>
    </row>
    <row r="15" spans="1:16">
      <c r="B15" s="170">
        <f>+B13+1</f>
        <v>2</v>
      </c>
      <c r="C15" s="171"/>
      <c r="D15" s="188" t="s">
        <v>460</v>
      </c>
      <c r="E15" s="185" t="str">
        <f>"(Worksheet E,  ln  "&amp;'WS E Rev Credits'!A31&amp;") (Note A) "</f>
        <v xml:space="preserve">(Worksheet E,  ln  8) (Note A) </v>
      </c>
      <c r="F15" s="186"/>
      <c r="G15" s="189">
        <f>+'WS E Rev Credits'!K31</f>
        <v>0</v>
      </c>
      <c r="H15" s="186"/>
      <c r="I15" s="190" t="s">
        <v>422</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549</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16078629.132328153</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57"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7"/>
      <c r="D21" s="1457"/>
      <c r="E21" s="1457"/>
      <c r="F21" s="1457"/>
      <c r="G21" s="1457"/>
      <c r="H21" s="1457"/>
      <c r="I21" s="1457"/>
    </row>
    <row r="22" spans="2:13" ht="35.25" customHeight="1">
      <c r="B22" s="1457"/>
      <c r="C22" s="1457"/>
      <c r="D22" s="1457"/>
      <c r="E22" s="1457"/>
      <c r="F22" s="1457"/>
      <c r="G22" s="1457"/>
      <c r="H22" s="1457"/>
      <c r="I22" s="1457"/>
    </row>
    <row r="23" spans="2:13" ht="15" customHeight="1">
      <c r="B23" s="200"/>
      <c r="C23" s="200"/>
      <c r="D23" s="200"/>
      <c r="E23" s="200"/>
      <c r="F23" s="200"/>
      <c r="G23" s="200"/>
      <c r="H23" s="200"/>
      <c r="I23" s="200"/>
    </row>
    <row r="24" spans="2:13">
      <c r="B24" s="170">
        <f>+B18+1</f>
        <v>5</v>
      </c>
      <c r="C24" s="194"/>
      <c r="D24" s="201" t="s">
        <v>550</v>
      </c>
      <c r="E24" s="185"/>
      <c r="F24" s="186"/>
      <c r="G24" s="1235">
        <f>+'WS J PROJECTED RTEP RR'!M26</f>
        <v>0</v>
      </c>
      <c r="H24" s="186"/>
      <c r="I24" s="190" t="s">
        <v>422</v>
      </c>
      <c r="J24" s="191">
        <v>1</v>
      </c>
      <c r="K24" s="181"/>
      <c r="L24" s="202">
        <f>+J24*G24</f>
        <v>0</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0.13749670721678611</v>
      </c>
      <c r="M27" s="165"/>
    </row>
    <row r="28" spans="2:13">
      <c r="B28" s="170">
        <f>B27+1</f>
        <v>8</v>
      </c>
      <c r="C28" s="194"/>
      <c r="D28" s="205" t="s">
        <v>42</v>
      </c>
      <c r="E28" s="181" t="str">
        <f>"(ln "&amp;B27&amp;" / 12)"</f>
        <v>(ln 7 / 12)</v>
      </c>
      <c r="F28" s="171"/>
      <c r="G28" s="171"/>
      <c r="H28" s="171"/>
      <c r="I28" s="206"/>
      <c r="J28" s="206"/>
      <c r="K28" s="206"/>
      <c r="L28" s="208">
        <f>L27/12</f>
        <v>1.1458058934732175E-2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0.10915466337231856</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2.750600380992671E-2</v>
      </c>
      <c r="M34" s="173"/>
    </row>
    <row r="35" spans="2:13">
      <c r="B35" s="170"/>
      <c r="C35" s="194"/>
      <c r="D35" s="162"/>
      <c r="E35" s="181"/>
      <c r="F35" s="171"/>
      <c r="G35" s="171"/>
      <c r="H35" s="171"/>
      <c r="I35" s="206"/>
      <c r="J35" s="206"/>
      <c r="K35" s="206"/>
      <c r="L35" s="207"/>
      <c r="M35" s="211"/>
    </row>
    <row r="36" spans="2:13">
      <c r="B36" s="170">
        <f>B34+1</f>
        <v>13</v>
      </c>
      <c r="C36" s="171"/>
      <c r="D36" s="212" t="s">
        <v>551</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63" t="s">
        <v>207</v>
      </c>
      <c r="E39" s="1463"/>
      <c r="F39" s="1463"/>
      <c r="G39" s="1463"/>
      <c r="H39" s="1463"/>
      <c r="I39" s="1463"/>
      <c r="J39" s="1463"/>
      <c r="K39" s="1463"/>
      <c r="L39" s="1463"/>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81552.94</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81552.94</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Appalachian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415</v>
      </c>
      <c r="E57" s="171" t="s">
        <v>416</v>
      </c>
      <c r="F57" s="171"/>
      <c r="G57" s="171" t="s">
        <v>417</v>
      </c>
      <c r="H57" s="168" t="s">
        <v>408</v>
      </c>
      <c r="I57" s="1458" t="s">
        <v>418</v>
      </c>
      <c r="J57" s="1459"/>
      <c r="K57" s="168"/>
      <c r="L57" s="172" t="s">
        <v>419</v>
      </c>
      <c r="M57" s="168"/>
    </row>
    <row r="58" spans="2:16">
      <c r="B58" s="155"/>
      <c r="D58" s="209"/>
      <c r="E58" s="209"/>
      <c r="F58" s="209"/>
      <c r="G58" s="213"/>
      <c r="H58" s="168"/>
      <c r="I58" s="168"/>
      <c r="J58" s="221"/>
      <c r="K58" s="168"/>
      <c r="M58" s="168"/>
    </row>
    <row r="59" spans="2:16" ht="15.75">
      <c r="B59" s="222"/>
      <c r="C59" s="171"/>
      <c r="D59" s="209"/>
      <c r="E59" s="223" t="s">
        <v>388</v>
      </c>
      <c r="F59" s="224"/>
      <c r="G59" s="168"/>
      <c r="H59" s="168"/>
      <c r="I59" s="168"/>
      <c r="J59" s="171"/>
      <c r="K59" s="168"/>
      <c r="L59" s="225" t="s">
        <v>412</v>
      </c>
      <c r="M59" s="168"/>
      <c r="P59" s="216"/>
    </row>
    <row r="60" spans="2:16" ht="15.75">
      <c r="B60" s="155"/>
      <c r="C60" s="178"/>
      <c r="D60" s="226" t="s">
        <v>387</v>
      </c>
      <c r="E60" s="227" t="s">
        <v>406</v>
      </c>
      <c r="F60" s="168"/>
      <c r="G60" s="226" t="s">
        <v>374</v>
      </c>
      <c r="H60" s="228"/>
      <c r="I60" s="1460" t="s">
        <v>413</v>
      </c>
      <c r="J60" s="1461"/>
      <c r="K60" s="228"/>
      <c r="L60" s="226" t="s">
        <v>409</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375</v>
      </c>
      <c r="E62" s="231"/>
      <c r="F62" s="231"/>
      <c r="G62" s="186"/>
      <c r="H62" s="186"/>
      <c r="I62" s="190"/>
      <c r="J62" s="186"/>
      <c r="K62" s="186"/>
      <c r="L62" s="186"/>
      <c r="M62" s="168"/>
    </row>
    <row r="63" spans="2:16">
      <c r="B63" s="170">
        <f>+B45+1</f>
        <v>19</v>
      </c>
      <c r="C63" s="233"/>
      <c r="D63" s="234" t="s">
        <v>421</v>
      </c>
      <c r="E63" s="186" t="str">
        <f>"(Worksheet A ln "&amp;'WS A - Rate Base Support'!A23&amp;"."&amp;'WS A - Rate Base Support'!C8 &amp;" &amp; Ln "&amp;B207&amp;")"</f>
        <v>(Worksheet A ln 14.(d) &amp; Ln 117)</v>
      </c>
      <c r="F63" s="235"/>
      <c r="G63" s="203">
        <f>'WS A - Rate Base Support'!C23</f>
        <v>128440275.49076921</v>
      </c>
      <c r="H63" s="203"/>
      <c r="I63" s="236" t="s">
        <v>422</v>
      </c>
      <c r="J63" s="191">
        <v>1</v>
      </c>
      <c r="K63" s="237"/>
      <c r="L63" s="238">
        <f>+L207</f>
        <v>128440275.49076921</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414</v>
      </c>
      <c r="J64" s="191">
        <f>J134</f>
        <v>1</v>
      </c>
      <c r="K64" s="237"/>
      <c r="L64" s="238">
        <f>+G64*J64</f>
        <v>0</v>
      </c>
      <c r="M64" s="239"/>
    </row>
    <row r="65" spans="2:15">
      <c r="B65" s="170">
        <f>+B64+1</f>
        <v>21</v>
      </c>
      <c r="C65" s="233"/>
      <c r="D65" s="162" t="s">
        <v>423</v>
      </c>
      <c r="E65" s="186" t="str">
        <f>"(Worksheet A ln "&amp;'WS A - Rate Base Support'!A23&amp;"."&amp;'WS A - Rate Base Support'!E8 &amp;")"</f>
        <v>(Worksheet A ln 14.(h))</v>
      </c>
      <c r="F65" s="186"/>
      <c r="G65" s="203">
        <f>'WS A - Rate Base Support'!E23</f>
        <v>708932.31692307687</v>
      </c>
      <c r="H65" s="203"/>
      <c r="I65" s="190" t="s">
        <v>424</v>
      </c>
      <c r="J65" s="191">
        <f>L219</f>
        <v>1</v>
      </c>
      <c r="K65" s="186"/>
      <c r="L65" s="203">
        <f>+J65*G65</f>
        <v>708932.31692307687</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424</v>
      </c>
      <c r="J66" s="191">
        <f>L219</f>
        <v>1</v>
      </c>
      <c r="K66" s="186"/>
      <c r="L66" s="203">
        <f>+G66*J66</f>
        <v>0</v>
      </c>
      <c r="M66" s="168"/>
    </row>
    <row r="67" spans="2:15" ht="15.75" thickBot="1">
      <c r="B67" s="170">
        <f>+B66+1</f>
        <v>23</v>
      </c>
      <c r="C67" s="233"/>
      <c r="D67" s="162" t="s">
        <v>425</v>
      </c>
      <c r="E67" s="186" t="str">
        <f>"(Worksheet A ln "&amp;'WS A - Rate Base Support'!A23&amp;"."&amp;'WS A - Rate Base Support'!G8 &amp;")"</f>
        <v>(Worksheet A ln 14.(j))</v>
      </c>
      <c r="F67" s="186"/>
      <c r="G67" s="242">
        <f>'WS A - Rate Base Support'!G23</f>
        <v>1371152.9469230769</v>
      </c>
      <c r="H67" s="203"/>
      <c r="I67" s="190" t="s">
        <v>424</v>
      </c>
      <c r="J67" s="191">
        <f>L219</f>
        <v>1</v>
      </c>
      <c r="K67" s="186"/>
      <c r="L67" s="242">
        <f>+J67*G67</f>
        <v>1371152.9469230769</v>
      </c>
      <c r="M67" s="168"/>
      <c r="N67" s="162"/>
      <c r="O67" s="162"/>
    </row>
    <row r="68" spans="2:15" ht="15.75">
      <c r="B68" s="170">
        <f>+B67+1</f>
        <v>24</v>
      </c>
      <c r="C68" s="233"/>
      <c r="D68" s="162" t="s">
        <v>373</v>
      </c>
      <c r="E68" s="186" t="str">
        <f>"(Sum of Lines: "&amp;B63&amp;" to "&amp;B67&amp;")"</f>
        <v>(Sum of Lines: 19 to 23)</v>
      </c>
      <c r="F68" s="243"/>
      <c r="G68" s="203">
        <f>SUM(G63:G67)</f>
        <v>130520360.75461537</v>
      </c>
      <c r="H68" s="203"/>
      <c r="I68" s="244" t="s">
        <v>759</v>
      </c>
      <c r="J68" s="245">
        <f>IF(G68=0,0,L68/G68)</f>
        <v>1</v>
      </c>
      <c r="K68" s="186"/>
      <c r="L68" s="203">
        <f>SUM(L63:L67)</f>
        <v>130520360.75461537</v>
      </c>
      <c r="M68" s="168"/>
      <c r="N68" s="162"/>
      <c r="O68" s="162"/>
    </row>
    <row r="69" spans="2:15" ht="15.75">
      <c r="B69" s="170"/>
      <c r="C69" s="171"/>
      <c r="D69" s="162"/>
      <c r="E69" s="1227"/>
      <c r="F69" s="243"/>
      <c r="G69" s="203"/>
      <c r="H69" s="203"/>
      <c r="I69" s="244" t="s">
        <v>500</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11501990.510769229</v>
      </c>
      <c r="H71" s="203"/>
      <c r="I71" s="250" t="s">
        <v>356</v>
      </c>
      <c r="J71" s="251">
        <f>IF(G71=0,1,L71/G71)</f>
        <v>1</v>
      </c>
      <c r="K71" s="237"/>
      <c r="L71" s="203">
        <f>'WS A - Rate Base Support'!C64</f>
        <v>11501990.510769229</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356</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23850.640769230766</v>
      </c>
      <c r="H73" s="203"/>
      <c r="I73" s="190" t="s">
        <v>424</v>
      </c>
      <c r="J73" s="191">
        <f>L219</f>
        <v>1</v>
      </c>
      <c r="K73" s="186"/>
      <c r="L73" s="203">
        <f>+J73*G73</f>
        <v>23850.640769230766</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424</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682051.95307692303</v>
      </c>
      <c r="H75" s="203"/>
      <c r="I75" s="190" t="s">
        <v>424</v>
      </c>
      <c r="J75" s="191">
        <f>L219</f>
        <v>1</v>
      </c>
      <c r="K75" s="186"/>
      <c r="L75" s="1150">
        <f>+J75*G75</f>
        <v>682051.95307692303</v>
      </c>
      <c r="M75" s="186"/>
      <c r="N75" s="168"/>
      <c r="O75" s="168"/>
    </row>
    <row r="76" spans="2:15">
      <c r="B76" s="170">
        <f t="shared" si="0"/>
        <v>31</v>
      </c>
      <c r="C76" s="252"/>
      <c r="D76" s="205" t="s">
        <v>372</v>
      </c>
      <c r="E76" s="186" t="str">
        <f>"(Sum of Lines: "&amp;B71&amp;" to "&amp;B75&amp;")"</f>
        <v>(Sum of Lines: 26 to 30)</v>
      </c>
      <c r="F76" s="253"/>
      <c r="G76" s="203">
        <f>SUM(G71:G75)</f>
        <v>12207893.104615383</v>
      </c>
      <c r="H76" s="203"/>
      <c r="I76" s="190"/>
      <c r="J76" s="186"/>
      <c r="K76" s="203"/>
      <c r="L76" s="203">
        <f>SUM(L71:L75)</f>
        <v>12207893.104615383</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376</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116938284.97999997</v>
      </c>
      <c r="H79" s="203"/>
      <c r="I79" s="190"/>
      <c r="J79" s="251"/>
      <c r="K79" s="186"/>
      <c r="L79" s="203">
        <f>+L63+L64-L71-L72</f>
        <v>116938284.97999997</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685081.67615384609</v>
      </c>
      <c r="H80" s="203"/>
      <c r="I80" s="190"/>
      <c r="J80" s="255"/>
      <c r="K80" s="186"/>
      <c r="L80" s="203">
        <f>+L65+L66-L73-L74</f>
        <v>685081.67615384609</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689100.99384615384</v>
      </c>
      <c r="H81" s="203"/>
      <c r="I81" s="190"/>
      <c r="J81" s="255"/>
      <c r="K81" s="186"/>
      <c r="L81" s="242">
        <f>+L67-L75</f>
        <v>689100.99384615384</v>
      </c>
      <c r="M81" s="168"/>
      <c r="N81" s="168"/>
      <c r="O81" s="168"/>
    </row>
    <row r="82" spans="2:15" ht="15.75">
      <c r="B82" s="170">
        <f>+B81+1</f>
        <v>36</v>
      </c>
      <c r="C82" s="233"/>
      <c r="D82" s="241" t="s">
        <v>371</v>
      </c>
      <c r="E82" s="186" t="str">
        <f>"(Sum of Lines: "&amp;B79&amp;" to "&amp;B81&amp;")"</f>
        <v>(Sum of Lines: 33 to 35)</v>
      </c>
      <c r="F82" s="186"/>
      <c r="G82" s="203">
        <f>SUM(G79:G81)</f>
        <v>118312467.64999998</v>
      </c>
      <c r="H82" s="203"/>
      <c r="I82" s="259" t="s">
        <v>760</v>
      </c>
      <c r="J82" s="245">
        <f>IF(G82=0,0,+L82/G82)</f>
        <v>1</v>
      </c>
      <c r="K82" s="186"/>
      <c r="L82" s="203">
        <f>SUM(L79:L81)</f>
        <v>118312467.64999998</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477</v>
      </c>
      <c r="E86" s="186" t="str">
        <f>"(Worksheet B, ln "&amp;'WS B ADIT &amp; ITC'!A17&amp;" &amp; ln "&amp;'WS B ADIT &amp; ITC'!A20&amp;".E)"</f>
        <v>(Worksheet B, ln 2 &amp; ln 5.E)</v>
      </c>
      <c r="F86" s="186"/>
      <c r="G86" s="203">
        <f>'WS B ADIT &amp; ITC'!I17</f>
        <v>0</v>
      </c>
      <c r="H86" s="203"/>
      <c r="I86" s="190" t="s">
        <v>420</v>
      </c>
      <c r="J86" s="191"/>
      <c r="K86" s="186"/>
      <c r="L86" s="203">
        <f>'WS B ADIT &amp; ITC'!I20</f>
        <v>0</v>
      </c>
      <c r="M86" s="168"/>
      <c r="N86" s="168"/>
      <c r="O86" s="168"/>
    </row>
    <row r="87" spans="2:15">
      <c r="B87" s="170">
        <f t="shared" si="1"/>
        <v>39</v>
      </c>
      <c r="C87" s="233"/>
      <c r="D87" s="240" t="s">
        <v>478</v>
      </c>
      <c r="E87" s="186" t="str">
        <f>"(Worksheet B, ln "&amp;'WS B ADIT &amp; ITC'!A25&amp;" &amp; ln "&amp;'WS B ADIT &amp; ITC'!A28&amp;".E)"</f>
        <v>(Worksheet B, ln 7 &amp; ln 10.E)</v>
      </c>
      <c r="F87" s="186"/>
      <c r="G87" s="203">
        <f>-'WS B ADIT &amp; ITC'!I25</f>
        <v>-6386843.5599999996</v>
      </c>
      <c r="H87" s="203"/>
      <c r="I87" s="190" t="s">
        <v>422</v>
      </c>
      <c r="J87" s="191"/>
      <c r="K87" s="186"/>
      <c r="L87" s="203">
        <f>-'WS B ADIT &amp; ITC'!I28</f>
        <v>-6386843.5599999996</v>
      </c>
      <c r="M87" s="168"/>
      <c r="N87" s="168"/>
      <c r="O87" s="168"/>
    </row>
    <row r="88" spans="2:15">
      <c r="B88" s="170">
        <f t="shared" si="1"/>
        <v>40</v>
      </c>
      <c r="C88" s="233"/>
      <c r="D88" s="240" t="s">
        <v>479</v>
      </c>
      <c r="E88" s="186" t="str">
        <f>"(Worksheet B, ln "&amp;'WS B ADIT &amp; ITC'!A33&amp;" &amp; ln "&amp;'WS B ADIT &amp; ITC'!A36&amp;".E)"</f>
        <v>(Worksheet B, ln 12 &amp; ln 15.E)</v>
      </c>
      <c r="F88" s="186"/>
      <c r="G88" s="203">
        <f>-'WS B ADIT &amp; ITC'!I33</f>
        <v>-2054588.6800000002</v>
      </c>
      <c r="H88" s="203"/>
      <c r="I88" s="190" t="s">
        <v>422</v>
      </c>
      <c r="J88" s="191"/>
      <c r="K88" s="186"/>
      <c r="L88" s="203">
        <f>-'WS B ADIT &amp; ITC'!I36</f>
        <v>-2054588.6800000002</v>
      </c>
      <c r="M88" s="168"/>
      <c r="N88" s="168"/>
      <c r="O88" s="168"/>
    </row>
    <row r="89" spans="2:15">
      <c r="B89" s="170">
        <f t="shared" si="1"/>
        <v>41</v>
      </c>
      <c r="C89" s="233"/>
      <c r="D89" s="240" t="s">
        <v>480</v>
      </c>
      <c r="E89" s="186" t="str">
        <f>"(Worksheet B, ln "&amp;'WS B ADIT &amp; ITC'!A41&amp;" &amp; ln "&amp;'WS B ADIT &amp; ITC'!A44&amp;".E)"</f>
        <v>(Worksheet B, ln 17 &amp; ln 20.E)</v>
      </c>
      <c r="F89" s="186"/>
      <c r="G89" s="203">
        <f>'WS B ADIT &amp; ITC'!I41</f>
        <v>804139.45500000019</v>
      </c>
      <c r="H89" s="203"/>
      <c r="I89" s="190" t="s">
        <v>422</v>
      </c>
      <c r="J89" s="191"/>
      <c r="K89" s="186"/>
      <c r="L89" s="203">
        <f>'WS B ADIT &amp; ITC'!I44</f>
        <v>2475913.7264400003</v>
      </c>
      <c r="M89" s="168"/>
      <c r="N89" s="168"/>
      <c r="O89" s="168"/>
    </row>
    <row r="90" spans="2:15" ht="15.75" thickBot="1">
      <c r="B90" s="170">
        <f t="shared" si="1"/>
        <v>42</v>
      </c>
      <c r="C90" s="233"/>
      <c r="D90" s="261" t="s">
        <v>426</v>
      </c>
      <c r="E90" s="186" t="str">
        <f>"(Worksheet B, ln "&amp;'WS B ADIT &amp; ITC'!A51&amp;" &amp; ln "&amp;'WS B ADIT &amp; ITC'!A52&amp;".E)"</f>
        <v>(Worksheet B, ln 24 &amp; ln 25.E)</v>
      </c>
      <c r="F90" s="160"/>
      <c r="G90" s="242">
        <f>-'WS B ADIT &amp; ITC'!I51</f>
        <v>0</v>
      </c>
      <c r="H90" s="203"/>
      <c r="I90" s="190" t="s">
        <v>422</v>
      </c>
      <c r="J90" s="191"/>
      <c r="K90" s="186"/>
      <c r="L90" s="242">
        <f>-'WS B ADIT &amp; ITC'!I52</f>
        <v>0</v>
      </c>
      <c r="M90" s="262"/>
      <c r="N90" s="168"/>
      <c r="O90" s="168"/>
    </row>
    <row r="91" spans="2:15">
      <c r="B91" s="170">
        <f t="shared" si="1"/>
        <v>43</v>
      </c>
      <c r="C91" s="233"/>
      <c r="D91" s="241" t="s">
        <v>385</v>
      </c>
      <c r="E91" s="241" t="str">
        <f>"(sum lns "&amp;B86&amp;" to "&amp;B90&amp;")"</f>
        <v>(sum lns 38 to 42)</v>
      </c>
      <c r="F91" s="186"/>
      <c r="G91" s="203">
        <f>SUM(G86:G90)</f>
        <v>-7637292.7850000001</v>
      </c>
      <c r="H91" s="263"/>
      <c r="I91" s="190"/>
      <c r="J91" s="210"/>
      <c r="K91" s="186"/>
      <c r="L91" s="203">
        <f>SUM(L86:L90)</f>
        <v>-5965518.5135599999</v>
      </c>
      <c r="M91" s="168"/>
      <c r="N91" s="264"/>
    </row>
    <row r="92" spans="2:15">
      <c r="B92" s="170"/>
      <c r="C92" s="171"/>
      <c r="D92" s="241"/>
      <c r="E92" s="186"/>
      <c r="F92" s="186"/>
      <c r="G92" s="203"/>
      <c r="H92" s="263"/>
      <c r="I92" s="190"/>
      <c r="J92" s="255"/>
      <c r="K92" s="186"/>
      <c r="L92" s="203"/>
      <c r="M92" s="168"/>
    </row>
    <row r="93" spans="2:15">
      <c r="B93" s="170">
        <f>+B91+1</f>
        <v>44</v>
      </c>
      <c r="C93" s="171"/>
      <c r="D93" s="241" t="s">
        <v>489</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422</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422</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634</v>
      </c>
      <c r="E97" s="186" t="s">
        <v>635</v>
      </c>
      <c r="F97" s="186"/>
      <c r="G97" s="203">
        <f>'WS A - Rate Base Support'!F87</f>
        <v>0</v>
      </c>
      <c r="H97" s="203"/>
      <c r="I97" s="190" t="s">
        <v>424</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386</v>
      </c>
      <c r="E99" s="186" t="s">
        <v>286</v>
      </c>
      <c r="F99" s="186"/>
      <c r="G99" s="203"/>
      <c r="H99" s="263"/>
      <c r="I99" s="190"/>
      <c r="J99" s="186"/>
      <c r="K99" s="186"/>
      <c r="L99" s="203"/>
      <c r="M99" s="168"/>
    </row>
    <row r="100" spans="2:14">
      <c r="B100" s="170">
        <f t="shared" ref="B100:B108" si="2">+B99+1</f>
        <v>48</v>
      </c>
      <c r="C100" s="233"/>
      <c r="D100" s="241" t="s">
        <v>488</v>
      </c>
      <c r="E100" s="160" t="str">
        <f>"(1/8 * ln "&amp;B134&amp;")"</f>
        <v>(1/8 * ln 66)</v>
      </c>
      <c r="F100" s="160"/>
      <c r="G100" s="203">
        <f>+G134/8</f>
        <v>310796.63250000001</v>
      </c>
      <c r="H100" s="186"/>
      <c r="I100" s="190"/>
      <c r="J100" s="255"/>
      <c r="K100" s="186"/>
      <c r="L100" s="203">
        <f>+L134/8</f>
        <v>310796.63250000001</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414</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424</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761</v>
      </c>
      <c r="J103" s="191">
        <f>J68</f>
        <v>1</v>
      </c>
      <c r="K103" s="168"/>
      <c r="L103" s="257">
        <f>+J103*G103</f>
        <v>0</v>
      </c>
      <c r="M103" s="186"/>
    </row>
    <row r="104" spans="2:14">
      <c r="B104" s="170">
        <f t="shared" si="2"/>
        <v>52</v>
      </c>
      <c r="C104" s="252"/>
      <c r="D104" s="240" t="s">
        <v>492</v>
      </c>
      <c r="E104" s="186" t="str">
        <f>"(Worksheet C, ln "&amp;'WS C  - Working Capital'!A31&amp;".(G))"</f>
        <v>(Worksheet C, ln 8.(G))</v>
      </c>
      <c r="F104" s="186"/>
      <c r="G104" s="203">
        <f>'WS C  - Working Capital'!J31</f>
        <v>0</v>
      </c>
      <c r="H104" s="263"/>
      <c r="I104" s="190" t="s">
        <v>424</v>
      </c>
      <c r="J104" s="191">
        <f>L219</f>
        <v>1</v>
      </c>
      <c r="K104" s="186"/>
      <c r="L104" s="203">
        <f>+J104*G104</f>
        <v>0</v>
      </c>
      <c r="M104" s="186"/>
    </row>
    <row r="105" spans="2:14">
      <c r="B105" s="170">
        <f t="shared" si="2"/>
        <v>53</v>
      </c>
      <c r="C105" s="233"/>
      <c r="D105" s="241" t="s">
        <v>493</v>
      </c>
      <c r="E105" s="186" t="str">
        <f>"(Worksheet C, ln "&amp;'WS C  - Working Capital'!A31&amp;".(F))"</f>
        <v>(Worksheet C, ln 8.(F))</v>
      </c>
      <c r="F105" s="186"/>
      <c r="G105" s="203">
        <f>'WS C  - Working Capital'!I31</f>
        <v>11803.5</v>
      </c>
      <c r="H105" s="263"/>
      <c r="I105" s="190" t="s">
        <v>761</v>
      </c>
      <c r="J105" s="191">
        <f>J68</f>
        <v>1</v>
      </c>
      <c r="K105" s="186"/>
      <c r="L105" s="203">
        <f>+G105*J105</f>
        <v>11803.5</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422</v>
      </c>
      <c r="J106" s="191">
        <v>1</v>
      </c>
      <c r="K106" s="186"/>
      <c r="L106" s="203">
        <f>+G106</f>
        <v>0</v>
      </c>
      <c r="M106" s="186"/>
    </row>
    <row r="107" spans="2:14" ht="15.75" thickBot="1">
      <c r="B107" s="170">
        <f t="shared" si="2"/>
        <v>55</v>
      </c>
      <c r="C107" s="233"/>
      <c r="D107" s="241" t="s">
        <v>398</v>
      </c>
      <c r="E107" s="186" t="str">
        <f>"(Worksheet C, ln "&amp;'WS C  - Working Capital'!A31&amp;".(D))"</f>
        <v>(Worksheet C, ln 8.(D))</v>
      </c>
      <c r="F107" s="186"/>
      <c r="G107" s="242">
        <f>'WS C  - Working Capital'!E31</f>
        <v>0</v>
      </c>
      <c r="H107" s="203"/>
      <c r="I107" s="190" t="s">
        <v>420</v>
      </c>
      <c r="J107" s="191">
        <v>0</v>
      </c>
      <c r="K107" s="186"/>
      <c r="L107" s="242">
        <f>+G107*J107</f>
        <v>0</v>
      </c>
      <c r="M107" s="186"/>
    </row>
    <row r="108" spans="2:14">
      <c r="B108" s="170">
        <f t="shared" si="2"/>
        <v>56</v>
      </c>
      <c r="C108" s="233"/>
      <c r="D108" s="241" t="s">
        <v>370</v>
      </c>
      <c r="E108" s="241" t="str">
        <f>"(sum lns "&amp;B100&amp;" to "&amp;B107&amp;")"</f>
        <v>(sum lns 48 to 55)</v>
      </c>
      <c r="F108" s="181"/>
      <c r="G108" s="203">
        <f>SUM(G100:G107)</f>
        <v>322600.13250000001</v>
      </c>
      <c r="H108" s="181"/>
      <c r="I108" s="194"/>
      <c r="J108" s="181"/>
      <c r="K108" s="181"/>
      <c r="L108" s="203">
        <f>SUM(L100:L107)</f>
        <v>322600.13250000001</v>
      </c>
      <c r="M108" s="165"/>
    </row>
    <row r="109" spans="2:14">
      <c r="B109" s="170"/>
      <c r="C109" s="171"/>
      <c r="D109" s="241"/>
      <c r="E109" s="165"/>
      <c r="F109" s="165"/>
      <c r="G109" s="257"/>
      <c r="H109" s="165"/>
      <c r="I109" s="171"/>
      <c r="J109" s="165"/>
      <c r="K109" s="165"/>
      <c r="L109" s="257"/>
      <c r="M109" s="165"/>
    </row>
    <row r="110" spans="2:14">
      <c r="B110" s="170">
        <f>+B108+1</f>
        <v>57</v>
      </c>
      <c r="C110" s="171"/>
      <c r="D110" s="240" t="s">
        <v>358</v>
      </c>
      <c r="E110" s="162" t="str">
        <f>"(Note F) (Worksheet D, ln "&amp;'WS D IPP Credits'!A23&amp;".B)"</f>
        <v>(Note F) (Worksheet D, ln 8.B)</v>
      </c>
      <c r="F110" s="165"/>
      <c r="G110" s="257">
        <f>+'WS D IPP Credits'!C23</f>
        <v>0</v>
      </c>
      <c r="H110" s="165"/>
      <c r="I110" s="265" t="s">
        <v>422</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110997774.99749997</v>
      </c>
      <c r="H112" s="168"/>
      <c r="I112" s="168"/>
      <c r="J112" s="268"/>
      <c r="K112" s="168"/>
      <c r="L112" s="267">
        <f>+L108+L93+L91+L82+L110+L95+L97</f>
        <v>112669549.26893997</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Appalachian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415</v>
      </c>
      <c r="E121" s="171" t="s">
        <v>416</v>
      </c>
      <c r="F121" s="171"/>
      <c r="G121" s="171" t="s">
        <v>417</v>
      </c>
      <c r="H121" s="186"/>
      <c r="I121" s="1458" t="s">
        <v>418</v>
      </c>
      <c r="J121" s="1462"/>
      <c r="K121" s="168"/>
      <c r="L121" s="172" t="s">
        <v>419</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394</v>
      </c>
      <c r="E123" s="223" t="str">
        <f>E59</f>
        <v>Data Sources</v>
      </c>
      <c r="F123" s="224"/>
      <c r="G123" s="168"/>
      <c r="H123" s="186"/>
      <c r="I123" s="168"/>
      <c r="J123" s="171"/>
      <c r="K123" s="168"/>
      <c r="L123" s="223" t="str">
        <f>L59</f>
        <v>Total</v>
      </c>
      <c r="N123" s="274"/>
      <c r="O123" s="275"/>
    </row>
    <row r="124" spans="2:15" ht="15.75">
      <c r="B124" s="269"/>
      <c r="C124" s="178"/>
      <c r="D124" s="226" t="s">
        <v>395</v>
      </c>
      <c r="E124" s="276" t="str">
        <f>E60</f>
        <v>(See "General Notes")</v>
      </c>
      <c r="F124" s="168"/>
      <c r="G124" s="276" t="str">
        <f>G60</f>
        <v>TO Total</v>
      </c>
      <c r="H124" s="277"/>
      <c r="I124" s="1460" t="str">
        <f>I60</f>
        <v>Allocator</v>
      </c>
      <c r="J124" s="1461"/>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396</v>
      </c>
      <c r="E126" s="168"/>
      <c r="F126" s="168"/>
      <c r="G126" s="168"/>
      <c r="H126" s="186"/>
      <c r="I126" s="197"/>
      <c r="J126" s="168"/>
      <c r="K126" s="168"/>
      <c r="L126" s="168"/>
      <c r="M126" s="168"/>
    </row>
    <row r="127" spans="2:15">
      <c r="B127" s="170">
        <f>+B112+1</f>
        <v>59</v>
      </c>
      <c r="C127" s="171"/>
      <c r="D127" s="205" t="s">
        <v>32</v>
      </c>
      <c r="E127" s="168" t="s">
        <v>486</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427</v>
      </c>
      <c r="E129" s="168" t="s">
        <v>197</v>
      </c>
      <c r="F129" s="186"/>
      <c r="G129" s="141">
        <v>2567926</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2567926</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81552.94</v>
      </c>
      <c r="H131" s="203"/>
      <c r="I131" s="209"/>
      <c r="J131" s="209"/>
      <c r="K131" s="173"/>
      <c r="L131" s="173"/>
      <c r="M131" s="165"/>
      <c r="N131" s="168"/>
      <c r="O131" s="168"/>
    </row>
    <row r="132" spans="2:15">
      <c r="B132" s="170">
        <f t="shared" si="3"/>
        <v>64</v>
      </c>
      <c r="C132" s="171"/>
      <c r="D132" s="205" t="s">
        <v>352</v>
      </c>
      <c r="E132" s="186" t="s">
        <v>393</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2486373.06</v>
      </c>
      <c r="H134" s="186"/>
      <c r="I134" s="197" t="s">
        <v>414</v>
      </c>
      <c r="J134" s="191">
        <f>L209</f>
        <v>1</v>
      </c>
      <c r="K134" s="186"/>
      <c r="L134" s="203">
        <f>+J134*G134</f>
        <v>2486373.06</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397</v>
      </c>
      <c r="E136" s="186" t="s">
        <v>758</v>
      </c>
      <c r="F136" s="168"/>
      <c r="G136" s="145">
        <v>600181</v>
      </c>
      <c r="H136" s="280" t="s">
        <v>408</v>
      </c>
      <c r="I136" s="258"/>
      <c r="J136" s="258"/>
      <c r="K136" s="168"/>
      <c r="L136" s="257"/>
      <c r="M136" s="168"/>
      <c r="N136" s="168"/>
      <c r="O136" s="168"/>
    </row>
    <row r="137" spans="2:15">
      <c r="B137" s="170">
        <f t="shared" ref="B137:B143" si="4">+B136+1</f>
        <v>68</v>
      </c>
      <c r="C137" s="171"/>
      <c r="D137" s="205" t="s">
        <v>125</v>
      </c>
      <c r="E137" s="168" t="s">
        <v>199</v>
      </c>
      <c r="F137" s="168"/>
      <c r="G137" s="145">
        <v>21538</v>
      </c>
      <c r="H137" s="203"/>
      <c r="I137" s="258"/>
      <c r="J137" s="162"/>
      <c r="K137" s="168"/>
      <c r="L137" s="257"/>
      <c r="M137" s="173"/>
      <c r="N137" s="168"/>
      <c r="O137" s="168"/>
    </row>
    <row r="138" spans="2:15">
      <c r="B138" s="170">
        <f t="shared" si="4"/>
        <v>69</v>
      </c>
      <c r="C138" s="171"/>
      <c r="D138" s="162" t="s">
        <v>124</v>
      </c>
      <c r="E138" s="168" t="s">
        <v>389</v>
      </c>
      <c r="F138" s="186"/>
      <c r="G138" s="145">
        <v>4563</v>
      </c>
      <c r="H138" s="203"/>
      <c r="I138" s="258"/>
      <c r="J138" s="282"/>
      <c r="K138" s="168"/>
      <c r="L138" s="257"/>
      <c r="M138" s="168"/>
      <c r="N138" s="168"/>
      <c r="O138" s="168"/>
    </row>
    <row r="139" spans="2:15">
      <c r="B139" s="170">
        <f t="shared" si="4"/>
        <v>70</v>
      </c>
      <c r="C139" s="171"/>
      <c r="D139" s="205" t="s">
        <v>401</v>
      </c>
      <c r="E139" s="168" t="s">
        <v>390</v>
      </c>
      <c r="F139" s="186"/>
      <c r="G139" s="145">
        <v>10</v>
      </c>
      <c r="H139" s="203"/>
      <c r="I139" s="258"/>
      <c r="J139" s="258"/>
      <c r="K139" s="168"/>
      <c r="L139" s="257"/>
      <c r="M139" s="168"/>
      <c r="N139" s="168"/>
      <c r="O139" s="168"/>
    </row>
    <row r="140" spans="2:15" ht="15.75" thickBot="1">
      <c r="B140" s="170">
        <f t="shared" si="4"/>
        <v>71</v>
      </c>
      <c r="C140" s="171"/>
      <c r="D140" s="205" t="s">
        <v>126</v>
      </c>
      <c r="E140" s="168" t="s">
        <v>391</v>
      </c>
      <c r="F140" s="186"/>
      <c r="G140" s="141">
        <v>6662</v>
      </c>
      <c r="H140" s="203"/>
      <c r="I140" s="258"/>
      <c r="J140" s="258"/>
      <c r="K140" s="168"/>
      <c r="L140" s="257"/>
      <c r="M140" s="168"/>
      <c r="N140" s="168"/>
      <c r="O140" s="168"/>
    </row>
    <row r="141" spans="2:15">
      <c r="B141" s="170">
        <f>+B140+1</f>
        <v>72</v>
      </c>
      <c r="C141" s="171"/>
      <c r="D141" s="162" t="s">
        <v>402</v>
      </c>
      <c r="E141" s="186" t="str">
        <f>"(ln "&amp;B136&amp;" - sum ln "&amp;B137&amp;"  to ln "&amp;B140&amp;")"</f>
        <v>(ln 67 - sum ln 68  to ln 71)</v>
      </c>
      <c r="F141" s="186"/>
      <c r="G141" s="203">
        <f>G136-SUM(G137:G140)</f>
        <v>567408</v>
      </c>
      <c r="H141" s="203"/>
      <c r="I141" s="197" t="s">
        <v>424</v>
      </c>
      <c r="J141" s="191">
        <f>L219</f>
        <v>1</v>
      </c>
      <c r="K141" s="168"/>
      <c r="L141" s="257">
        <f>+J141*G141</f>
        <v>567408</v>
      </c>
      <c r="M141" s="168"/>
      <c r="N141" s="168"/>
      <c r="O141" s="168"/>
    </row>
    <row r="142" spans="2:15">
      <c r="B142" s="170">
        <f t="shared" si="4"/>
        <v>73</v>
      </c>
      <c r="C142" s="194"/>
      <c r="D142" s="205" t="s">
        <v>481</v>
      </c>
      <c r="E142" s="186" t="str">
        <f>"(ln "&amp;B137&amp;")"</f>
        <v>(ln 68)</v>
      </c>
      <c r="F142" s="186"/>
      <c r="G142" s="203">
        <f>+G137</f>
        <v>21538</v>
      </c>
      <c r="H142" s="203"/>
      <c r="I142" s="283" t="s">
        <v>633</v>
      </c>
      <c r="J142" s="191">
        <f>J68</f>
        <v>1</v>
      </c>
      <c r="K142" s="186"/>
      <c r="L142" s="203">
        <f>+J142*G142</f>
        <v>21538</v>
      </c>
      <c r="M142" s="168"/>
      <c r="N142" s="168"/>
      <c r="O142" s="168"/>
    </row>
    <row r="143" spans="2:15">
      <c r="B143" s="170">
        <f t="shared" si="4"/>
        <v>74</v>
      </c>
      <c r="C143" s="171"/>
      <c r="D143" s="205" t="s">
        <v>1</v>
      </c>
      <c r="E143" s="186" t="str">
        <f>"Worksheet F ln "&amp;'WS F Misc Exp'!A44&amp;".(E) (Note L)"</f>
        <v>Worksheet F ln 21.(E) (Note L)</v>
      </c>
      <c r="F143" s="186"/>
      <c r="G143" s="203">
        <f>+'WS F Misc Exp'!F44</f>
        <v>4016.54</v>
      </c>
      <c r="H143" s="203"/>
      <c r="I143" s="197" t="s">
        <v>414</v>
      </c>
      <c r="J143" s="191">
        <f>L209</f>
        <v>1</v>
      </c>
      <c r="K143" s="168"/>
      <c r="L143" s="257">
        <f>J143*G143</f>
        <v>4016.54</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414</v>
      </c>
      <c r="J144" s="191">
        <f>L209</f>
        <v>1</v>
      </c>
      <c r="K144" s="168"/>
      <c r="L144" s="257">
        <f>+J144*G144</f>
        <v>0</v>
      </c>
      <c r="M144" s="168"/>
      <c r="N144" s="168"/>
      <c r="O144" s="168"/>
    </row>
    <row r="145" spans="2:15">
      <c r="B145" s="170">
        <f>+B144+1</f>
        <v>76</v>
      </c>
      <c r="C145" s="171"/>
      <c r="D145" s="205" t="s">
        <v>26</v>
      </c>
      <c r="E145" s="186" t="str">
        <f>"Worksheet F ln "&amp;'WS F Misc Exp'!A73&amp;".(E) (Note L)"</f>
        <v>Worksheet F ln 4.(E) (Note L)</v>
      </c>
      <c r="F145" s="186"/>
      <c r="G145" s="189">
        <f>+'WS F Misc Exp'!F73</f>
        <v>5.8100000000000005</v>
      </c>
      <c r="H145" s="284"/>
      <c r="I145" s="190" t="s">
        <v>422</v>
      </c>
      <c r="J145" s="191">
        <v>1</v>
      </c>
      <c r="K145" s="168"/>
      <c r="L145" s="285">
        <f>+J145*G145</f>
        <v>5.8100000000000005</v>
      </c>
      <c r="M145" s="168"/>
      <c r="N145" s="168"/>
      <c r="O145" s="168"/>
    </row>
    <row r="146" spans="2:15">
      <c r="B146" s="170">
        <f>+B145+1</f>
        <v>77</v>
      </c>
      <c r="C146" s="171"/>
      <c r="D146" s="1299" t="s">
        <v>795</v>
      </c>
      <c r="E146" s="186" t="str">
        <f>"Worksheet O Ln "&amp;'Worksheet O'!A33&amp;"."&amp;'Worksheet O'!D11&amp;", (Note K &amp; M)"</f>
        <v>Worksheet O Ln 16.(B), (Note K &amp; M)</v>
      </c>
      <c r="F146" s="186"/>
      <c r="G146" s="1230">
        <f>'Worksheet O'!D33</f>
        <v>26116.242186175368</v>
      </c>
      <c r="H146" s="284"/>
      <c r="I146" s="197" t="s">
        <v>424</v>
      </c>
      <c r="J146" s="191">
        <f>L219</f>
        <v>1</v>
      </c>
      <c r="K146" s="168"/>
      <c r="L146" s="1312">
        <f>+J146*G146</f>
        <v>26116.242186175368</v>
      </c>
      <c r="M146" s="168"/>
      <c r="N146" s="168"/>
      <c r="O146" s="168"/>
    </row>
    <row r="147" spans="2:15">
      <c r="B147" s="170">
        <f>+B146+1</f>
        <v>78</v>
      </c>
      <c r="C147" s="171"/>
      <c r="D147" s="162" t="s">
        <v>403</v>
      </c>
      <c r="E147" s="186" t="str">
        <f>"(sum lns "&amp;B141&amp;"  to "&amp;B146&amp;")"</f>
        <v>(sum lns 72  to 77)</v>
      </c>
      <c r="F147" s="186"/>
      <c r="G147" s="257">
        <f>SUM(G141:G146)</f>
        <v>619084.59218617552</v>
      </c>
      <c r="H147" s="203"/>
      <c r="I147" s="197"/>
      <c r="J147" s="258"/>
      <c r="K147" s="168"/>
      <c r="L147" s="257">
        <f>SUM(L141:L146)</f>
        <v>619084.59218617552</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3105457.6521861758</v>
      </c>
      <c r="H149" s="203"/>
      <c r="I149" s="190"/>
      <c r="J149" s="186"/>
      <c r="K149" s="186"/>
      <c r="L149" s="203">
        <f>L134+L147</f>
        <v>3105457.6521861758</v>
      </c>
      <c r="M149" s="168"/>
      <c r="N149" s="168"/>
      <c r="O149" s="168"/>
    </row>
    <row r="150" spans="2:15" ht="15.75" thickBot="1">
      <c r="B150" s="256">
        <f>+B149+1</f>
        <v>80</v>
      </c>
      <c r="C150" s="194"/>
      <c r="D150" s="205" t="s">
        <v>272</v>
      </c>
      <c r="E150" s="205"/>
      <c r="F150" s="186"/>
      <c r="G150" s="141"/>
      <c r="H150" s="203"/>
      <c r="I150" s="197" t="s">
        <v>422</v>
      </c>
      <c r="J150" s="191">
        <f>J63</f>
        <v>1</v>
      </c>
      <c r="K150" s="186"/>
      <c r="L150" s="266">
        <f>J150*G150</f>
        <v>0</v>
      </c>
      <c r="M150" s="168"/>
      <c r="N150" s="168"/>
      <c r="O150" s="168"/>
    </row>
    <row r="151" spans="2:15">
      <c r="B151" s="170">
        <f>+B150+1</f>
        <v>81</v>
      </c>
      <c r="C151" s="171"/>
      <c r="D151" s="205" t="s">
        <v>404</v>
      </c>
      <c r="E151" s="186" t="str">
        <f>"(ln "&amp;B149&amp;" + ln "&amp;B150&amp;")"</f>
        <v>(ln 79 + ln 80)</v>
      </c>
      <c r="F151" s="186"/>
      <c r="G151" s="203">
        <f>+G149+G150</f>
        <v>3105457.6521861758</v>
      </c>
      <c r="H151" s="203"/>
      <c r="I151" s="190"/>
      <c r="J151" s="186"/>
      <c r="K151" s="186"/>
      <c r="L151" s="203">
        <f>+L149+L150</f>
        <v>3105457.6521861758</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407</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3314270</v>
      </c>
      <c r="H154" s="287"/>
      <c r="I154" s="288" t="s">
        <v>355</v>
      </c>
      <c r="J154" s="191">
        <f>J71</f>
        <v>1</v>
      </c>
      <c r="K154" s="239"/>
      <c r="L154" s="289">
        <f>J154*G154</f>
        <v>3314270</v>
      </c>
      <c r="M154" s="239"/>
      <c r="N154" s="168"/>
      <c r="O154" s="168"/>
    </row>
    <row r="155" spans="2:15">
      <c r="B155" s="170">
        <f>+B154+1</f>
        <v>84</v>
      </c>
      <c r="C155" s="171"/>
      <c r="D155" s="241" t="s">
        <v>428</v>
      </c>
      <c r="E155" s="286" t="s">
        <v>201</v>
      </c>
      <c r="F155" s="168"/>
      <c r="G155" s="149">
        <v>34269</v>
      </c>
      <c r="H155" s="203"/>
      <c r="I155" s="197" t="s">
        <v>424</v>
      </c>
      <c r="J155" s="191">
        <f>L219</f>
        <v>1</v>
      </c>
      <c r="K155" s="168"/>
      <c r="L155" s="257">
        <f>+J155*G155</f>
        <v>34269</v>
      </c>
      <c r="M155" s="168"/>
      <c r="N155" s="186"/>
      <c r="O155" s="168"/>
    </row>
    <row r="156" spans="2:15" ht="15.75" thickBot="1">
      <c r="B156" s="170">
        <f>+B155+1</f>
        <v>85</v>
      </c>
      <c r="C156" s="171"/>
      <c r="D156" s="241" t="s">
        <v>429</v>
      </c>
      <c r="E156" s="235" t="s">
        <v>202</v>
      </c>
      <c r="F156" s="186"/>
      <c r="G156" s="1315">
        <v>264092</v>
      </c>
      <c r="H156" s="203"/>
      <c r="I156" s="197" t="s">
        <v>424</v>
      </c>
      <c r="J156" s="191">
        <f>L219</f>
        <v>1</v>
      </c>
      <c r="K156" s="168"/>
      <c r="L156" s="266">
        <f>+J156*G156</f>
        <v>264092</v>
      </c>
      <c r="M156" s="168"/>
      <c r="N156" s="186"/>
      <c r="O156" s="168"/>
    </row>
    <row r="157" spans="2:15" ht="15" customHeight="1">
      <c r="B157" s="170">
        <f>+B156+1</f>
        <v>86</v>
      </c>
      <c r="C157" s="171"/>
      <c r="D157" s="241" t="s">
        <v>96</v>
      </c>
      <c r="E157" s="290" t="str">
        <f>"(Ln "&amp;B154&amp;"+"&amp;B155&amp;"+"&amp;B156&amp;")"</f>
        <v>(Ln 83+84+85)</v>
      </c>
      <c r="F157" s="168"/>
      <c r="G157" s="203">
        <f>+G154+G155+G156</f>
        <v>3612631</v>
      </c>
      <c r="H157" s="186"/>
      <c r="I157" s="197"/>
      <c r="J157" s="168"/>
      <c r="K157" s="168"/>
      <c r="L157" s="203">
        <f>+L154+L155+L156</f>
        <v>3612631</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359</v>
      </c>
      <c r="E159" s="160" t="s">
        <v>203</v>
      </c>
      <c r="G159" s="257"/>
      <c r="H159" s="186"/>
      <c r="I159" s="197"/>
      <c r="J159" s="168"/>
      <c r="K159" s="168"/>
      <c r="L159" s="257"/>
      <c r="M159" s="168"/>
      <c r="N159" s="292"/>
      <c r="O159" s="168"/>
    </row>
    <row r="160" spans="2:15">
      <c r="B160" s="170">
        <f t="shared" ref="B160:B165" si="5">+B159+1</f>
        <v>88</v>
      </c>
      <c r="C160" s="171"/>
      <c r="D160" s="241" t="s">
        <v>430</v>
      </c>
      <c r="G160" s="257"/>
      <c r="H160" s="186"/>
      <c r="I160" s="197"/>
      <c r="K160" s="168"/>
      <c r="L160" s="257"/>
      <c r="M160" s="168"/>
      <c r="N160" s="168"/>
      <c r="O160" s="168"/>
    </row>
    <row r="161" spans="2:15">
      <c r="B161" s="170">
        <f t="shared" si="5"/>
        <v>89</v>
      </c>
      <c r="C161" s="171"/>
      <c r="D161" s="241" t="s">
        <v>431</v>
      </c>
      <c r="E161" s="186" t="str">
        <f>"Worksheet H ln "&amp;'WS H-p1 Other Taxes'!A43&amp;"."&amp;'WS H-p1 Other Taxes'!I10&amp;""</f>
        <v>Worksheet H ln 23.(D)</v>
      </c>
      <c r="F161" s="168"/>
      <c r="G161" s="203">
        <f>+'WS H-p1 Other Taxes'!I43</f>
        <v>0</v>
      </c>
      <c r="H161" s="203"/>
      <c r="I161" s="197" t="s">
        <v>424</v>
      </c>
      <c r="J161" s="191">
        <f>L219</f>
        <v>1</v>
      </c>
      <c r="K161" s="168"/>
      <c r="L161" s="257">
        <f>+J161*G161</f>
        <v>0</v>
      </c>
      <c r="M161" s="262"/>
      <c r="N161" s="168"/>
      <c r="O161" s="168"/>
    </row>
    <row r="162" spans="2:15">
      <c r="B162" s="170">
        <f t="shared" si="5"/>
        <v>90</v>
      </c>
      <c r="C162" s="171"/>
      <c r="D162" s="241" t="s">
        <v>432</v>
      </c>
      <c r="E162" s="186" t="s">
        <v>408</v>
      </c>
      <c r="F162" s="168"/>
      <c r="G162" s="203"/>
      <c r="H162" s="203"/>
      <c r="I162" s="197"/>
      <c r="K162" s="168"/>
      <c r="L162" s="257"/>
      <c r="M162" s="186"/>
      <c r="N162" s="168"/>
      <c r="O162" s="168"/>
    </row>
    <row r="163" spans="2:15">
      <c r="B163" s="193">
        <f t="shared" si="5"/>
        <v>91</v>
      </c>
      <c r="C163" s="194"/>
      <c r="D163" s="240" t="s">
        <v>433</v>
      </c>
      <c r="E163" s="186" t="str">
        <f>"Worksheet H-p2 ln "&amp;'WS H-p2 Detail of Tax Amts'!A22&amp;"."&amp;'WS H-p2 Detail of Tax Amts'!E19&amp; " &amp; ln "&amp;'WS H-p2 Detail of Tax Amts'!A22&amp;"."&amp;'WS H-p2 Detail of Tax Amts'!I19&amp;""</f>
        <v>Worksheet H-p2 ln 3.(C) &amp; ln 3.(G)</v>
      </c>
      <c r="F163" s="186"/>
      <c r="G163" s="203">
        <f>'WS H-p2 Detail of Tax Amts'!E22</f>
        <v>451658.26</v>
      </c>
      <c r="H163" s="203"/>
      <c r="I163" s="190" t="s">
        <v>422</v>
      </c>
      <c r="J163" s="191">
        <v>1</v>
      </c>
      <c r="K163" s="186"/>
      <c r="L163" s="203">
        <f>'WS H-p2 Detail of Tax Amts'!I22</f>
        <v>451658.26</v>
      </c>
      <c r="M163" s="293"/>
      <c r="N163" s="292"/>
      <c r="O163" s="186"/>
    </row>
    <row r="164" spans="2:15">
      <c r="B164" s="170">
        <f t="shared" si="5"/>
        <v>92</v>
      </c>
      <c r="C164" s="171"/>
      <c r="D164" s="241" t="s">
        <v>484</v>
      </c>
      <c r="E164" s="186" t="str">
        <f>"Worksheet H ln "&amp;'WS H-p1 Other Taxes'!A43&amp;"."&amp;'WS H-p1 Other Taxes'!M10&amp;""</f>
        <v>Worksheet H ln 23.(F)</v>
      </c>
      <c r="F164" s="168"/>
      <c r="G164" s="203">
        <f>+'WS H-p1 Other Taxes'!M43</f>
        <v>0</v>
      </c>
      <c r="H164" s="263"/>
      <c r="I164" s="197" t="s">
        <v>420</v>
      </c>
      <c r="J164" s="191">
        <v>0</v>
      </c>
      <c r="K164" s="168"/>
      <c r="L164" s="257">
        <f>+J164*G164</f>
        <v>0</v>
      </c>
      <c r="M164" s="186"/>
      <c r="N164" s="168"/>
      <c r="O164" s="168"/>
    </row>
    <row r="165" spans="2:15" ht="15.75" thickBot="1">
      <c r="B165" s="170">
        <f t="shared" si="5"/>
        <v>93</v>
      </c>
      <c r="C165" s="171"/>
      <c r="D165" s="241" t="s">
        <v>434</v>
      </c>
      <c r="E165" s="186" t="str">
        <f>"Worksheet H ln "&amp;'WS H-p1 Other Taxes'!A43&amp;"."&amp;'WS H-p1 Other Taxes'!K10&amp;""</f>
        <v>Worksheet H ln 23.(E)</v>
      </c>
      <c r="F165" s="168"/>
      <c r="G165" s="242">
        <f>+'WS H-p1 Other Taxes'!K43</f>
        <v>-638972</v>
      </c>
      <c r="H165" s="263"/>
      <c r="I165" s="197" t="s">
        <v>761</v>
      </c>
      <c r="J165" s="191">
        <f>J68</f>
        <v>1</v>
      </c>
      <c r="K165" s="168"/>
      <c r="L165" s="266">
        <f>+J165*G165</f>
        <v>-638972</v>
      </c>
      <c r="M165" s="186"/>
      <c r="N165" s="168"/>
      <c r="O165" s="168"/>
    </row>
    <row r="166" spans="2:15">
      <c r="B166" s="170">
        <f>+B165+1</f>
        <v>94</v>
      </c>
      <c r="C166" s="171"/>
      <c r="D166" s="241" t="s">
        <v>360</v>
      </c>
      <c r="E166" s="196" t="str">
        <f>"(sum lns "&amp;B161&amp;" to "&amp;B165&amp;")"</f>
        <v>(sum lns 89 to 93)</v>
      </c>
      <c r="F166" s="168"/>
      <c r="G166" s="203">
        <f>SUM(G161:G165)</f>
        <v>-187313.74</v>
      </c>
      <c r="H166" s="186"/>
      <c r="I166" s="197"/>
      <c r="J166" s="294"/>
      <c r="K166" s="168"/>
      <c r="L166" s="257">
        <f>SUM(L161:L165)</f>
        <v>-187313.74</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IF(F341&gt;0,1-(((1-F342)*(1-F341))/(1-F342*F341*F343)),0)</f>
        <v>0.26142820999999994</v>
      </c>
      <c r="H169" s="301"/>
      <c r="I169" s="301"/>
      <c r="K169" s="302"/>
      <c r="L169" s="297"/>
      <c r="M169" s="168"/>
      <c r="N169" s="168"/>
      <c r="O169" s="168"/>
    </row>
    <row r="170" spans="2:15">
      <c r="B170" s="170">
        <f t="shared" si="6"/>
        <v>97</v>
      </c>
      <c r="C170" s="171"/>
      <c r="D170" s="261" t="s">
        <v>133</v>
      </c>
      <c r="E170" s="168"/>
      <c r="F170" s="299"/>
      <c r="G170" s="300">
        <f>IF(L233&gt;0,($G169/(1-$G169))*(1-$L233/$L236),0)</f>
        <v>0.24640175289480282</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1.353964521174035</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36"/>
      <c r="K174" s="203"/>
      <c r="L174" s="160"/>
      <c r="M174" s="197"/>
      <c r="N174" s="168"/>
      <c r="O174" s="168"/>
    </row>
    <row r="175" spans="2:15">
      <c r="B175" s="170">
        <f t="shared" ref="B175:B181" si="7">+B174+1</f>
        <v>102</v>
      </c>
      <c r="C175" s="171"/>
      <c r="D175" s="240" t="s">
        <v>552</v>
      </c>
      <c r="E175" s="186" t="s">
        <v>762</v>
      </c>
      <c r="F175" s="1228"/>
      <c r="G175" s="149">
        <v>1020</v>
      </c>
      <c r="H175" s="348"/>
      <c r="I175" s="315" t="s">
        <v>637</v>
      </c>
      <c r="J175" s="191">
        <f>NP_h</f>
        <v>1</v>
      </c>
      <c r="K175" s="203"/>
      <c r="L175" s="189">
        <f>+G175*J175</f>
        <v>1020</v>
      </c>
      <c r="M175" s="168"/>
      <c r="N175" s="168"/>
      <c r="O175" s="168"/>
    </row>
    <row r="176" spans="2:15">
      <c r="B176" s="170">
        <f t="shared" si="7"/>
        <v>103</v>
      </c>
      <c r="C176" s="171"/>
      <c r="D176" s="240" t="s">
        <v>636</v>
      </c>
      <c r="E176" s="186" t="s">
        <v>762</v>
      </c>
      <c r="F176" s="1228"/>
      <c r="G176" s="149">
        <v>25642.185977850004</v>
      </c>
      <c r="H176" s="348"/>
      <c r="I176" s="315" t="s">
        <v>637</v>
      </c>
      <c r="J176" s="191">
        <f>NP_h</f>
        <v>1</v>
      </c>
      <c r="K176" s="203"/>
      <c r="L176" s="189">
        <f>+G176*J176</f>
        <v>25642.185977850004</v>
      </c>
      <c r="M176" s="168"/>
      <c r="N176" s="168"/>
      <c r="O176" s="168"/>
    </row>
    <row r="177" spans="2:15">
      <c r="B177" s="170">
        <f t="shared" si="7"/>
        <v>104</v>
      </c>
      <c r="C177" s="171"/>
      <c r="D177" s="307" t="s">
        <v>135</v>
      </c>
      <c r="E177" s="312" t="str">
        <f>"(ln "&amp;B170&amp;" * ln "&amp;B183&amp;")"</f>
        <v>(ln 97 * ln 109)</v>
      </c>
      <c r="F177" s="313"/>
      <c r="G177" s="203">
        <f>+G170*G183</f>
        <v>1852482.4139921085</v>
      </c>
      <c r="H177" s="348"/>
      <c r="I177" s="283"/>
      <c r="J177" s="1229"/>
      <c r="K177" s="203"/>
      <c r="L177" s="203">
        <f>+L183*G170</f>
        <v>1880383.2655008601</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637</v>
      </c>
      <c r="J178" s="191">
        <f>NP_h</f>
        <v>1</v>
      </c>
      <c r="K178" s="203"/>
      <c r="L178" s="189">
        <f>+G178*J178</f>
        <v>0</v>
      </c>
      <c r="M178" s="168"/>
      <c r="N178" s="168"/>
      <c r="O178" s="168"/>
    </row>
    <row r="179" spans="2:15">
      <c r="B179" s="170">
        <f t="shared" si="7"/>
        <v>106</v>
      </c>
      <c r="C179" s="171"/>
      <c r="D179" s="327" t="s">
        <v>552</v>
      </c>
      <c r="E179" s="312" t="str">
        <f>"(ln "&amp;B173&amp;" * ln "&amp;B175&amp;")"</f>
        <v>(ln 100 * ln 102)</v>
      </c>
      <c r="F179" s="312"/>
      <c r="G179" s="189">
        <f>G173*G175</f>
        <v>1381.0438115975157</v>
      </c>
      <c r="H179" s="348"/>
      <c r="I179" s="315"/>
      <c r="J179" s="191"/>
      <c r="K179" s="203"/>
      <c r="L179" s="189">
        <f>G173*L175</f>
        <v>1381.0438115975157</v>
      </c>
      <c r="M179" s="168"/>
      <c r="N179" s="168"/>
      <c r="O179" s="168"/>
    </row>
    <row r="180" spans="2:15">
      <c r="B180" s="170">
        <f t="shared" si="7"/>
        <v>107</v>
      </c>
      <c r="C180" s="171"/>
      <c r="D180" s="240" t="s">
        <v>636</v>
      </c>
      <c r="E180" s="312" t="str">
        <f>"(ln "&amp;B173&amp;" * ln "&amp;B176&amp;")"</f>
        <v>(ln 100 * ln 103)</v>
      </c>
      <c r="F180" s="312"/>
      <c r="G180" s="1230">
        <f>G173*G176</f>
        <v>34718.610059355233</v>
      </c>
      <c r="H180" s="348"/>
      <c r="I180" s="315"/>
      <c r="J180" s="191"/>
      <c r="K180" s="203"/>
      <c r="L180" s="1230">
        <f>G173*L176</f>
        <v>34718.610059355233</v>
      </c>
      <c r="M180" s="168"/>
      <c r="N180" s="168"/>
      <c r="O180" s="168"/>
    </row>
    <row r="181" spans="2:15">
      <c r="B181" s="256">
        <f t="shared" si="7"/>
        <v>108</v>
      </c>
      <c r="C181" s="171"/>
      <c r="D181" s="298" t="s">
        <v>361</v>
      </c>
      <c r="E181" s="168" t="str">
        <f>"(sum lns "&amp;B177&amp;" to "&amp;B180&amp;")"</f>
        <v>(sum lns 104 to 107)</v>
      </c>
      <c r="F181" s="312"/>
      <c r="G181" s="315">
        <f>SUM(G177:G180)</f>
        <v>1888582.0678630613</v>
      </c>
      <c r="H181" s="209"/>
      <c r="I181" s="213" t="s">
        <v>408</v>
      </c>
      <c r="J181" s="316"/>
      <c r="K181" s="257"/>
      <c r="L181" s="315">
        <f>SUM(L177:L180)</f>
        <v>1916482.9193718128</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483</v>
      </c>
      <c r="E183" s="307" t="str">
        <f>"(ln "&amp;B112&amp;" * ln "&amp;B236&amp;")"</f>
        <v>(ln 58 * ln 139)</v>
      </c>
      <c r="F183" s="268"/>
      <c r="G183" s="317">
        <f>+$L236*G112</f>
        <v>7518138.1310343007</v>
      </c>
      <c r="H183" s="186"/>
      <c r="I183" s="213"/>
      <c r="J183" s="257"/>
      <c r="K183" s="257"/>
      <c r="L183" s="317">
        <f>+L236*L112</f>
        <v>7631371.3007701645</v>
      </c>
      <c r="M183" s="168"/>
      <c r="N183" s="297"/>
      <c r="O183" s="297"/>
    </row>
    <row r="184" spans="2:15">
      <c r="B184" s="170"/>
      <c r="C184" s="171"/>
      <c r="D184" s="298"/>
      <c r="G184" s="257"/>
      <c r="H184" s="257"/>
      <c r="I184" s="213"/>
      <c r="J184" s="213"/>
      <c r="K184" s="257"/>
      <c r="L184" s="257"/>
      <c r="M184" s="168"/>
    </row>
    <row r="185" spans="2:15">
      <c r="B185" s="170">
        <f>+B183+1</f>
        <v>110</v>
      </c>
      <c r="C185" s="171"/>
      <c r="D185" s="318" t="s">
        <v>392</v>
      </c>
      <c r="F185" s="286"/>
      <c r="G185" s="203">
        <f>-'WS D IPP Credits'!C13</f>
        <v>0</v>
      </c>
      <c r="H185" s="203"/>
      <c r="I185" s="265" t="s">
        <v>422</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15937495.111083537</v>
      </c>
      <c r="L191" s="321">
        <f>+L185+L183+L181+L166+L157+L151+L187+L189</f>
        <v>16078629.132328153</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Appalachian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366</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410</v>
      </c>
      <c r="C202" s="171"/>
      <c r="D202" s="323"/>
      <c r="E202" s="165"/>
      <c r="F202" s="165"/>
      <c r="G202" s="165"/>
      <c r="H202" s="165"/>
      <c r="I202" s="165"/>
      <c r="J202" s="165"/>
      <c r="K202" s="165"/>
      <c r="L202" s="165"/>
      <c r="M202" s="168"/>
      <c r="N202" s="160"/>
      <c r="O202" s="160"/>
    </row>
    <row r="203" spans="2:16" ht="15.75" thickBot="1">
      <c r="B203" s="177" t="s">
        <v>411</v>
      </c>
      <c r="C203" s="178"/>
      <c r="D203" s="205" t="s">
        <v>504</v>
      </c>
      <c r="E203" s="181"/>
      <c r="F203" s="181"/>
      <c r="G203" s="181"/>
      <c r="H203" s="181"/>
      <c r="I203" s="181"/>
      <c r="J203" s="181"/>
      <c r="K203" s="160"/>
      <c r="M203" s="168"/>
      <c r="N203" s="160"/>
      <c r="O203" s="160"/>
      <c r="P203" s="173"/>
    </row>
    <row r="204" spans="2:16">
      <c r="B204" s="170">
        <f>+B191+1</f>
        <v>114</v>
      </c>
      <c r="C204" s="171"/>
      <c r="D204" s="181" t="s">
        <v>458</v>
      </c>
      <c r="E204" s="324" t="str">
        <f>"(ln "&amp;B63&amp;")"</f>
        <v>(ln 19)</v>
      </c>
      <c r="F204" s="325"/>
      <c r="H204" s="326"/>
      <c r="I204" s="326"/>
      <c r="J204" s="326"/>
      <c r="K204" s="326"/>
      <c r="L204" s="189">
        <f>+G63</f>
        <v>128440275.49076921</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505</v>
      </c>
      <c r="E207" s="329" t="str">
        <f>"(ln "&amp;B204&amp;" - ln "&amp;B205&amp;" - ln "&amp;B206&amp;")"</f>
        <v>(ln 114 - ln 115 - ln 116)</v>
      </c>
      <c r="F207" s="325"/>
      <c r="H207" s="326"/>
      <c r="I207" s="326"/>
      <c r="J207" s="231"/>
      <c r="K207" s="326"/>
      <c r="L207" s="189">
        <f>L204-L205-L206</f>
        <v>128440275.49076921</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506</v>
      </c>
      <c r="E209" s="330" t="str">
        <f>"(ln "&amp;B207&amp;" / ln "&amp;B204&amp;")"</f>
        <v>(ln 117 / ln 114)</v>
      </c>
      <c r="F209" s="331"/>
      <c r="H209" s="332"/>
      <c r="I209" s="333"/>
      <c r="J209" s="333"/>
      <c r="K209" s="334" t="s">
        <v>435</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367</v>
      </c>
      <c r="E211" s="190" t="s">
        <v>137</v>
      </c>
      <c r="F211" s="190" t="s">
        <v>476</v>
      </c>
      <c r="G211" s="338" t="s">
        <v>498</v>
      </c>
      <c r="H211" s="272" t="s">
        <v>412</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421</v>
      </c>
      <c r="E213" s="186" t="s">
        <v>341</v>
      </c>
      <c r="F213" s="143">
        <v>0</v>
      </c>
      <c r="G213" s="142">
        <v>360202.94146953232</v>
      </c>
      <c r="H213" s="339">
        <f>+F213+G213</f>
        <v>360202.94146953232</v>
      </c>
      <c r="I213" s="194" t="s">
        <v>414</v>
      </c>
      <c r="J213" s="191">
        <f>L209</f>
        <v>1</v>
      </c>
      <c r="K213" s="340"/>
      <c r="L213" s="257">
        <f>(F213+G213)*J213</f>
        <v>360202.94146953232</v>
      </c>
      <c r="M213" s="168"/>
    </row>
    <row r="214" spans="2:24">
      <c r="B214" s="170">
        <f t="shared" si="8"/>
        <v>122</v>
      </c>
      <c r="C214" s="194"/>
      <c r="D214" s="240" t="s">
        <v>544</v>
      </c>
      <c r="E214" s="168" t="s">
        <v>254</v>
      </c>
      <c r="F214" s="143">
        <v>0</v>
      </c>
      <c r="G214" s="143">
        <v>0</v>
      </c>
      <c r="H214" s="257">
        <f>+F214+G214</f>
        <v>0</v>
      </c>
      <c r="I214" s="197" t="s">
        <v>420</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485</v>
      </c>
      <c r="E216" s="168" t="s">
        <v>206</v>
      </c>
      <c r="F216" s="141">
        <v>0</v>
      </c>
      <c r="G216" s="141">
        <v>0</v>
      </c>
      <c r="H216" s="266">
        <f>+F216+G216</f>
        <v>0</v>
      </c>
      <c r="I216" s="197" t="s">
        <v>420</v>
      </c>
      <c r="J216" s="191">
        <v>0</v>
      </c>
      <c r="K216" s="340"/>
      <c r="L216" s="266">
        <f>(F216+G216)*J216</f>
        <v>0</v>
      </c>
      <c r="M216" s="168"/>
    </row>
    <row r="217" spans="2:24" ht="15.75">
      <c r="B217" s="170">
        <f t="shared" si="8"/>
        <v>125</v>
      </c>
      <c r="C217" s="194"/>
      <c r="D217" s="240" t="s">
        <v>412</v>
      </c>
      <c r="E217" s="186" t="str">
        <f>"(sum lns "&amp;B213&amp;", "&amp;B214&amp;", &amp; "&amp;B216&amp;")"</f>
        <v>(sum lns 121, 122, &amp; 124)</v>
      </c>
      <c r="F217" s="257">
        <f>SUM(F212:F216)</f>
        <v>0</v>
      </c>
      <c r="G217" s="186">
        <f>SUM(G212:G216)</f>
        <v>360202.94146953232</v>
      </c>
      <c r="H217" s="186">
        <f>SUM(H212:H216)</f>
        <v>360202.94146953232</v>
      </c>
      <c r="I217" s="197"/>
      <c r="J217" s="168"/>
      <c r="K217" s="168"/>
      <c r="L217" s="257">
        <f>SUM(L212:L216)</f>
        <v>360202.94146953232</v>
      </c>
      <c r="M217" s="223"/>
    </row>
    <row r="218" spans="2:24">
      <c r="B218" s="170"/>
      <c r="C218" s="194"/>
      <c r="D218" s="240" t="s">
        <v>408</v>
      </c>
      <c r="E218" s="186" t="s">
        <v>408</v>
      </c>
      <c r="F218" s="186"/>
      <c r="G218" s="160"/>
      <c r="H218" s="186"/>
      <c r="I218" s="271"/>
    </row>
    <row r="219" spans="2:24" ht="15.75">
      <c r="B219" s="170">
        <f>B217+1</f>
        <v>126</v>
      </c>
      <c r="C219" s="171"/>
      <c r="D219" s="241" t="s">
        <v>368</v>
      </c>
      <c r="E219" s="186"/>
      <c r="F219" s="186"/>
      <c r="G219" s="186"/>
      <c r="H219" s="186"/>
      <c r="I219" s="271"/>
      <c r="K219" s="341" t="s">
        <v>369</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482</v>
      </c>
      <c r="E222" s="186"/>
      <c r="F222" s="186"/>
      <c r="G222" s="186"/>
      <c r="H222" s="186"/>
      <c r="I222" s="186"/>
      <c r="J222" s="186"/>
      <c r="K222" s="186"/>
      <c r="L222" s="344" t="s">
        <v>436</v>
      </c>
      <c r="M222" s="168"/>
    </row>
    <row r="223" spans="2:24" ht="15.75">
      <c r="B223" s="170">
        <f>B222+1</f>
        <v>128</v>
      </c>
      <c r="C223" s="171"/>
      <c r="D223" s="186" t="s">
        <v>502</v>
      </c>
      <c r="E223" s="160" t="str">
        <f>"(Worksheet M, ln."&amp;'WS M - Cost of Capital'!A55&amp;", col."&amp;'WS M - Cost of Capital'!E47&amp;")"</f>
        <v>(Worksheet M, ln.36, col.(d))</v>
      </c>
      <c r="F223" s="186"/>
      <c r="G223" s="186"/>
      <c r="H223" s="186"/>
      <c r="I223" s="186"/>
      <c r="J223" s="277" t="s">
        <v>408</v>
      </c>
      <c r="K223" s="186"/>
      <c r="L223" s="345">
        <f>'WS M - Cost of Capital'!E55</f>
        <v>2290951.9</v>
      </c>
      <c r="M223" s="186"/>
      <c r="N223" s="160"/>
      <c r="O223" s="160"/>
      <c r="P223" s="160"/>
      <c r="Q223" s="160"/>
      <c r="R223" s="160"/>
      <c r="S223" s="160"/>
      <c r="T223" s="160"/>
      <c r="U223" s="160"/>
      <c r="V223" s="160"/>
      <c r="W223" s="160"/>
      <c r="X223" s="160"/>
    </row>
    <row r="224" spans="2:24">
      <c r="B224" s="170">
        <f t="shared" ref="B224:B230" si="9">B223+1</f>
        <v>129</v>
      </c>
      <c r="C224" s="171"/>
      <c r="D224" s="186" t="s">
        <v>503</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50705777.15038462</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0">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50705777.15038462</v>
      </c>
      <c r="M230" s="168"/>
    </row>
    <row r="231" spans="2:13" ht="15.75">
      <c r="B231" s="170"/>
      <c r="C231" s="171"/>
      <c r="D231" s="240"/>
      <c r="E231" s="186"/>
      <c r="F231" s="186"/>
      <c r="G231" s="1455" t="s">
        <v>264</v>
      </c>
      <c r="H231" s="1455"/>
      <c r="I231" s="186"/>
      <c r="J231" s="271" t="s">
        <v>437</v>
      </c>
      <c r="K231" s="186"/>
      <c r="L231" s="186"/>
      <c r="M231" s="168"/>
    </row>
    <row r="232" spans="2:13" ht="15.75" thickBot="1">
      <c r="B232" s="193"/>
      <c r="C232" s="194"/>
      <c r="D232" s="240"/>
      <c r="E232" s="160"/>
      <c r="F232" s="186"/>
      <c r="G232" s="350" t="s">
        <v>436</v>
      </c>
      <c r="H232" s="350" t="s">
        <v>808</v>
      </c>
      <c r="I232" s="344" t="s">
        <v>807</v>
      </c>
      <c r="J232" s="351" t="s">
        <v>546</v>
      </c>
      <c r="K232" s="186"/>
      <c r="L232" s="350" t="s">
        <v>439</v>
      </c>
      <c r="M232" s="168"/>
    </row>
    <row r="233" spans="2:13" ht="15.75">
      <c r="B233" s="193">
        <f>B230+1</f>
        <v>136</v>
      </c>
      <c r="C233" s="194"/>
      <c r="D233" s="240" t="str">
        <f>"  Long Term Debt  (Note S) Worksheet M, ln "&amp;'WS M - Cost of Capital'!A42&amp;", col. (g), ln "&amp;'WS M - Cost of Capital'!A57&amp;", col. "&amp;'WS M - Cost of Capital'!E47&amp;")"</f>
        <v xml:space="preserve">  Long Term Debt  (Note S) Worksheet M, ln 28, col. (g), ln 37, col. (d))</v>
      </c>
      <c r="E233" s="160"/>
      <c r="F233" s="277" t="s">
        <v>408</v>
      </c>
      <c r="G233" s="203">
        <f>'WS M - Cost of Capital'!H42</f>
        <v>60600000</v>
      </c>
      <c r="H233" s="352">
        <f>IF($G$236=0,0,G233/$G$236)</f>
        <v>0.5444461334484344</v>
      </c>
      <c r="I233" s="1314">
        <f>IF(H235&gt;E238,1-I235,H233)</f>
        <v>0.5444461334484344</v>
      </c>
      <c r="J233" s="352">
        <f>IF(G233=0,0,L223/G233)</f>
        <v>3.7804486798679864E-2</v>
      </c>
      <c r="K233" s="160"/>
      <c r="L233" s="353">
        <f>IF(H235&gt;I235,I233*J233,H233*J233)</f>
        <v>2.0582506664543632E-2</v>
      </c>
      <c r="M233" s="168"/>
    </row>
    <row r="234" spans="2:13">
      <c r="B234" s="193">
        <f>B233+1</f>
        <v>137</v>
      </c>
      <c r="C234" s="194"/>
      <c r="D234" s="240" t="str">
        <f>"  Preferred Stock (ln "&amp;B227&amp;")"</f>
        <v xml:space="preserve">  Preferred Stock (ln 132)</v>
      </c>
      <c r="E234" s="160"/>
      <c r="F234" s="160"/>
      <c r="G234" s="203">
        <f>L227</f>
        <v>0</v>
      </c>
      <c r="H234" s="1384">
        <f>IF($G$236=0,0,G234/$G$236)</f>
        <v>0</v>
      </c>
      <c r="I234" s="1314">
        <f>H234</f>
        <v>0</v>
      </c>
      <c r="J234" s="352">
        <f>IF(G234=0,0,L224/G234)</f>
        <v>0</v>
      </c>
      <c r="K234" s="160"/>
      <c r="L234" s="354">
        <f>I234*J234</f>
        <v>0</v>
      </c>
      <c r="M234" s="168"/>
    </row>
    <row r="235" spans="2:13" ht="15.75" thickBot="1">
      <c r="B235" s="193">
        <f>B234+1</f>
        <v>138</v>
      </c>
      <c r="C235" s="194"/>
      <c r="D235" s="240" t="str">
        <f>"  Common Stock (ln "&amp;B230&amp;")"</f>
        <v xml:space="preserve">  Common Stock (ln 135)</v>
      </c>
      <c r="E235" s="160"/>
      <c r="F235" s="160"/>
      <c r="G235" s="242">
        <f>L230</f>
        <v>50705777.15038462</v>
      </c>
      <c r="H235" s="1385">
        <f>IF($G$236=0,0,G235/$G$236)</f>
        <v>0.45555386655156566</v>
      </c>
      <c r="I235" s="1386">
        <f>IF(H235&gt;E238,E238,H235)</f>
        <v>0.45555386655156566</v>
      </c>
      <c r="J235" s="1387">
        <v>0.10349999999999999</v>
      </c>
      <c r="K235" s="160"/>
      <c r="L235" s="355">
        <f>IF(H235&gt;E238,E238*J235,H235*J235)</f>
        <v>4.7149825188087045E-2</v>
      </c>
      <c r="M235" s="168"/>
    </row>
    <row r="236" spans="2:13" ht="15.75">
      <c r="B236" s="193">
        <f>B235+1</f>
        <v>139</v>
      </c>
      <c r="C236" s="194"/>
      <c r="D236" s="240" t="str">
        <f>" Total (Sum lns "&amp;B233&amp;" to "&amp;B235&amp;")"</f>
        <v xml:space="preserve"> Total (Sum lns 136 to 138)</v>
      </c>
      <c r="E236" s="160"/>
      <c r="F236" s="160"/>
      <c r="G236" s="203">
        <f>SUM(G233:G235)</f>
        <v>111305777.15038462</v>
      </c>
      <c r="H236" s="210">
        <f>SUM(H233:H235)</f>
        <v>1</v>
      </c>
      <c r="I236" s="186"/>
      <c r="J236" s="356"/>
      <c r="K236" s="259" t="s">
        <v>354</v>
      </c>
      <c r="L236" s="357">
        <f>SUM(L233:L235)</f>
        <v>6.7732331852630681E-2</v>
      </c>
      <c r="M236" s="168"/>
    </row>
    <row r="237" spans="2:13" ht="15.75">
      <c r="B237" s="193"/>
      <c r="C237" s="194"/>
      <c r="D237" s="240"/>
      <c r="E237" s="160"/>
      <c r="F237" s="160"/>
      <c r="G237" s="203"/>
      <c r="H237" s="210"/>
      <c r="I237" s="186"/>
      <c r="J237" s="356"/>
      <c r="K237" s="259"/>
      <c r="L237" s="357"/>
      <c r="M237" s="168"/>
    </row>
    <row r="238" spans="2:13" ht="15.75">
      <c r="B238" s="193">
        <f>B236+1</f>
        <v>140</v>
      </c>
      <c r="C238" s="194"/>
      <c r="D238" s="240" t="s">
        <v>806</v>
      </c>
      <c r="E238" s="1314">
        <v>0.55000000000000004</v>
      </c>
      <c r="F238" s="160"/>
      <c r="G238" s="203"/>
      <c r="H238" s="210"/>
      <c r="I238" s="186"/>
      <c r="J238" s="356"/>
      <c r="K238" s="259"/>
      <c r="L238" s="357"/>
      <c r="M238" s="168"/>
    </row>
    <row r="239" spans="2:13">
      <c r="B239" s="170"/>
      <c r="C239" s="171"/>
      <c r="D239" s="241"/>
      <c r="E239" s="160"/>
      <c r="F239" s="186"/>
      <c r="G239" s="186"/>
      <c r="H239" s="186"/>
      <c r="I239" s="197"/>
      <c r="J239" s="168"/>
      <c r="K239" s="168"/>
      <c r="L239" s="168"/>
      <c r="M239" s="168"/>
    </row>
    <row r="240" spans="2:13" ht="15.75" hidden="1">
      <c r="B240" s="358"/>
      <c r="C240" s="359"/>
      <c r="D240" s="360" t="s">
        <v>215</v>
      </c>
      <c r="E240" s="361"/>
      <c r="F240" s="362"/>
      <c r="G240" s="363"/>
      <c r="H240" s="362"/>
      <c r="I240" s="362"/>
      <c r="J240" s="362"/>
      <c r="K240" s="364"/>
      <c r="L240" s="365"/>
      <c r="M240" s="168"/>
    </row>
    <row r="241" spans="2:21" ht="15.75" hidden="1" thickBot="1">
      <c r="B241" s="358">
        <f>B238+1</f>
        <v>141</v>
      </c>
      <c r="C241" s="359"/>
      <c r="D241" s="366" t="s">
        <v>482</v>
      </c>
      <c r="E241" s="362"/>
      <c r="F241" s="362"/>
      <c r="G241" s="362"/>
      <c r="H241" s="362"/>
      <c r="I241" s="362"/>
      <c r="J241" s="362"/>
      <c r="K241" s="362"/>
      <c r="L241" s="367" t="s">
        <v>436</v>
      </c>
      <c r="M241" s="168"/>
    </row>
    <row r="242" spans="2:21" hidden="1">
      <c r="B242" s="358">
        <f t="shared" ref="B242:B249" si="10">+B241+1</f>
        <v>142</v>
      </c>
      <c r="C242" s="359"/>
      <c r="D242" s="362" t="s">
        <v>502</v>
      </c>
      <c r="E242" s="363" t="str">
        <f>"(Worksheet Q, ln. "&amp;'WS Q Cap Structure'!A199&amp;")"</f>
        <v>(Worksheet Q, ln. 132)</v>
      </c>
      <c r="F242" s="362"/>
      <c r="G242" s="362"/>
      <c r="H242" s="362"/>
      <c r="I242" s="362"/>
      <c r="J242" s="362"/>
      <c r="K242" s="362"/>
      <c r="L242" s="368">
        <f>'WS Q Cap Structure'!J199</f>
        <v>0</v>
      </c>
      <c r="M242" s="168"/>
    </row>
    <row r="243" spans="2:21" hidden="1">
      <c r="B243" s="358">
        <f t="shared" si="10"/>
        <v>143</v>
      </c>
      <c r="C243" s="359"/>
      <c r="D243" s="362" t="s">
        <v>503</v>
      </c>
      <c r="E243" s="363" t="str">
        <f>"(Worksheet Q, ln. "&amp;'WS Q Cap Structure'!A203&amp;")"</f>
        <v>(Worksheet Q, ln. 134)</v>
      </c>
      <c r="F243" s="362"/>
      <c r="G243" s="362"/>
      <c r="H243" s="362"/>
      <c r="I243" s="362"/>
      <c r="J243" s="362"/>
      <c r="K243" s="362"/>
      <c r="L243" s="368">
        <f>'WS Q Cap Structure'!J203</f>
        <v>0</v>
      </c>
      <c r="M243" s="168"/>
    </row>
    <row r="244" spans="2:21" hidden="1">
      <c r="B244" s="358">
        <f t="shared" si="10"/>
        <v>144</v>
      </c>
      <c r="C244" s="359"/>
      <c r="D244" s="369" t="s">
        <v>27</v>
      </c>
      <c r="E244" s="362"/>
      <c r="F244" s="362"/>
      <c r="G244" s="362"/>
      <c r="H244" s="370"/>
      <c r="I244" s="362"/>
      <c r="J244" s="362"/>
      <c r="K244" s="362"/>
      <c r="L244" s="368"/>
      <c r="M244" s="168"/>
    </row>
    <row r="245" spans="2:21" hidden="1">
      <c r="B245" s="358">
        <f t="shared" si="10"/>
        <v>145</v>
      </c>
      <c r="C245" s="359"/>
      <c r="D245" s="362" t="s">
        <v>28</v>
      </c>
      <c r="E245" s="363" t="str">
        <f>"(Worksheet Q, ln. "&amp;'WS Q Cap Structure'!A206&amp;")"</f>
        <v>(Worksheet Q, ln. 135)</v>
      </c>
      <c r="F245" s="362"/>
      <c r="G245" s="371"/>
      <c r="H245" s="372"/>
      <c r="I245" s="362"/>
      <c r="J245" s="362"/>
      <c r="K245" s="362"/>
      <c r="L245" s="373" t="e">
        <f>'WS Q Cap Structure'!J206</f>
        <v>#DIV/0!</v>
      </c>
      <c r="M245" s="168"/>
    </row>
    <row r="246" spans="2:21" hidden="1">
      <c r="B246" s="358">
        <f t="shared" si="10"/>
        <v>146</v>
      </c>
      <c r="C246" s="359"/>
      <c r="D246" s="362" t="s">
        <v>163</v>
      </c>
      <c r="E246" s="363" t="str">
        <f>"(Worksheet Q, ln. "&amp;'WS Q Cap Structure'!A207&amp;")"</f>
        <v>(Worksheet Q, ln. 136)</v>
      </c>
      <c r="F246" s="362"/>
      <c r="G246" s="362"/>
      <c r="H246" s="372"/>
      <c r="I246" s="362"/>
      <c r="J246" s="362"/>
      <c r="K246" s="362"/>
      <c r="L246" s="373">
        <f>'WS Q Cap Structure'!J207</f>
        <v>0</v>
      </c>
      <c r="M246" s="168"/>
    </row>
    <row r="247" spans="2:21" hidden="1">
      <c r="B247" s="358">
        <f>+B246+1</f>
        <v>147</v>
      </c>
      <c r="C247" s="359"/>
      <c r="D247" s="362" t="s">
        <v>156</v>
      </c>
      <c r="E247" s="363" t="str">
        <f>"(Worksheet Q, ln. "&amp;'WS Q Cap Structure'!A208&amp;")"</f>
        <v>(Worksheet Q, ln. 137)</v>
      </c>
      <c r="F247" s="362"/>
      <c r="G247" s="362"/>
      <c r="H247" s="372"/>
      <c r="I247" s="362"/>
      <c r="J247" s="362"/>
      <c r="K247" s="362"/>
      <c r="L247" s="373" t="e">
        <f>'WS Q Cap Structure'!J208</f>
        <v>#DIV/0!</v>
      </c>
      <c r="M247" s="168"/>
    </row>
    <row r="248" spans="2:21" ht="15.75" hidden="1" thickBot="1">
      <c r="B248" s="358">
        <f t="shared" si="10"/>
        <v>148</v>
      </c>
      <c r="C248" s="359"/>
      <c r="D248" s="362" t="s">
        <v>162</v>
      </c>
      <c r="E248" s="363" t="str">
        <f>"(Worksheet Q, ln. "&amp;'WS Q Cap Structure'!A209&amp;")"</f>
        <v>(Worksheet Q, ln. 138)</v>
      </c>
      <c r="F248" s="362"/>
      <c r="G248" s="362"/>
      <c r="H248" s="372"/>
      <c r="I248" s="362"/>
      <c r="J248" s="374"/>
      <c r="K248" s="362"/>
      <c r="L248" s="375" t="e">
        <f>'WS Q Cap Structure'!J209</f>
        <v>#DIV/0!</v>
      </c>
      <c r="M248" s="168"/>
    </row>
    <row r="249" spans="2:21" hidden="1">
      <c r="B249" s="358">
        <f t="shared" si="10"/>
        <v>149</v>
      </c>
      <c r="C249" s="359"/>
      <c r="D249" s="363" t="s">
        <v>29</v>
      </c>
      <c r="E249" s="362" t="str">
        <f>"(ln "&amp;B245&amp;" - ln "&amp;B246&amp;" - ln "&amp;B247&amp;" - ln "&amp;B248&amp;")"</f>
        <v>(ln 145 - ln 146 - ln 147 - ln 148)</v>
      </c>
      <c r="F249" s="376"/>
      <c r="G249" s="363"/>
      <c r="H249" s="371"/>
      <c r="I249" s="371"/>
      <c r="J249" s="371"/>
      <c r="K249" s="371"/>
      <c r="L249" s="368" t="e">
        <f>+L245-L246-L247-L248</f>
        <v>#DIV/0!</v>
      </c>
      <c r="M249" s="168"/>
    </row>
    <row r="250" spans="2:21" ht="15.75" hidden="1">
      <c r="B250" s="358"/>
      <c r="C250" s="359"/>
      <c r="D250" s="366"/>
      <c r="E250" s="362"/>
      <c r="F250" s="362"/>
      <c r="G250" s="1454"/>
      <c r="H250" s="1454"/>
      <c r="I250" s="377"/>
      <c r="J250" s="363"/>
      <c r="K250" s="362"/>
      <c r="L250" s="362"/>
      <c r="M250" s="168"/>
    </row>
    <row r="251" spans="2:21" ht="15.75" hidden="1" thickBot="1">
      <c r="B251" s="358">
        <f>+B249+1</f>
        <v>150</v>
      </c>
      <c r="C251" s="359"/>
      <c r="D251" s="366"/>
      <c r="E251" s="363"/>
      <c r="F251" s="363"/>
      <c r="G251" s="378" t="s">
        <v>438</v>
      </c>
      <c r="H251" s="378" t="s">
        <v>436</v>
      </c>
      <c r="I251" s="377"/>
      <c r="J251" s="379" t="s">
        <v>437</v>
      </c>
      <c r="K251" s="362"/>
      <c r="L251" s="378" t="s">
        <v>439</v>
      </c>
      <c r="M251" s="168"/>
      <c r="N251" s="162"/>
      <c r="O251" s="162"/>
      <c r="P251" s="162"/>
      <c r="Q251" s="162"/>
      <c r="R251" s="162"/>
      <c r="S251" s="162"/>
      <c r="T251" s="162"/>
      <c r="U251" s="162"/>
    </row>
    <row r="252" spans="2:21" hidden="1">
      <c r="B252" s="358">
        <f>+B251+1</f>
        <v>151</v>
      </c>
      <c r="C252" s="359"/>
      <c r="D252" s="366" t="str">
        <f>"  Long Term Debt   (Worksheet Q, ln "&amp;'WS Q Cap Structure'!A213&amp;")"</f>
        <v xml:space="preserve">  Long Term Debt   (Worksheet Q, ln 140)</v>
      </c>
      <c r="E252" s="363"/>
      <c r="F252" s="363"/>
      <c r="G252" s="380" t="e">
        <f>'WS Q Cap Structure'!J218</f>
        <v>#DIV/0!</v>
      </c>
      <c r="H252" s="368" t="e">
        <f>$H$255*G252</f>
        <v>#DIV/0!</v>
      </c>
      <c r="I252" s="381"/>
      <c r="J252" s="374" t="e">
        <f>+L242/H252</f>
        <v>#DIV/0!</v>
      </c>
      <c r="K252" s="363"/>
      <c r="L252" s="382" t="e">
        <f>+G252*J252</f>
        <v>#DIV/0!</v>
      </c>
      <c r="M252" s="383"/>
      <c r="N252" s="162"/>
      <c r="O252" s="162"/>
      <c r="P252" s="162"/>
      <c r="Q252" s="162"/>
      <c r="R252" s="162"/>
      <c r="S252" s="162"/>
      <c r="T252" s="162"/>
      <c r="U252" s="162"/>
    </row>
    <row r="253" spans="2:21" hidden="1">
      <c r="B253" s="358">
        <f>+B252+1</f>
        <v>152</v>
      </c>
      <c r="C253" s="359"/>
      <c r="D253" s="366" t="str">
        <f>"  Preferred Stock (Worksheet Q, ln "&amp;'WS Q Cap Structure'!A214&amp;")"</f>
        <v xml:space="preserve">  Preferred Stock (Worksheet Q, ln 141)</v>
      </c>
      <c r="E253" s="363"/>
      <c r="F253" s="363"/>
      <c r="G253" s="380" t="e">
        <f>'WS Q Cap Structure'!J219</f>
        <v>#DIV/0!</v>
      </c>
      <c r="H253" s="368" t="e">
        <f>$H$255*G253</f>
        <v>#DIV/0!</v>
      </c>
      <c r="I253" s="381"/>
      <c r="J253" s="374">
        <f>IF(L243=0,0,+L243/H253)</f>
        <v>0</v>
      </c>
      <c r="K253" s="363"/>
      <c r="L253" s="384" t="e">
        <f>+G253*J253</f>
        <v>#DIV/0!</v>
      </c>
      <c r="M253" s="168"/>
    </row>
    <row r="254" spans="2:21" ht="15.75" hidden="1" thickBot="1">
      <c r="B254" s="358">
        <f>+B253+1</f>
        <v>153</v>
      </c>
      <c r="C254" s="359"/>
      <c r="D254" s="366" t="str">
        <f>"  Common Stock (Worksheet Q, ln "&amp;'WS Q Cap Structure'!A215&amp;")"</f>
        <v xml:space="preserve">  Common Stock (Worksheet Q, ln 142)</v>
      </c>
      <c r="E254" s="363"/>
      <c r="F254" s="363"/>
      <c r="G254" s="385" t="e">
        <f>'WS Q Cap Structure'!J220</f>
        <v>#DIV/0!</v>
      </c>
      <c r="H254" s="386" t="e">
        <f>$H$255*G254</f>
        <v>#DIV/0!</v>
      </c>
      <c r="I254" s="381"/>
      <c r="J254" s="151">
        <f>J235</f>
        <v>0.10349999999999999</v>
      </c>
      <c r="K254" s="363"/>
      <c r="L254" s="387" t="e">
        <f>+G254*J254</f>
        <v>#DIV/0!</v>
      </c>
      <c r="M254" s="168"/>
    </row>
    <row r="255" spans="2:21" ht="15.75" hidden="1">
      <c r="B255" s="358">
        <f>+B254+1</f>
        <v>154</v>
      </c>
      <c r="C255" s="359"/>
      <c r="D255" s="366" t="str">
        <f>" Total (Worksheet Q, ln "&amp;'WS Q Cap Structure'!A216&amp;")"</f>
        <v xml:space="preserve"> Total (Worksheet Q, ln 143)</v>
      </c>
      <c r="E255" s="363"/>
      <c r="F255" s="363"/>
      <c r="G255" s="363"/>
      <c r="H255" s="368" t="e">
        <f>'WS Q Cap Structure'!J216</f>
        <v>#DIV/0!</v>
      </c>
      <c r="I255" s="377"/>
      <c r="J255" s="388"/>
      <c r="K255" s="389" t="s">
        <v>354</v>
      </c>
      <c r="L255" s="390" t="e">
        <f>SUM(L252:L254)</f>
        <v>#DIV/0!</v>
      </c>
      <c r="M255" s="391"/>
    </row>
    <row r="256" spans="2:21">
      <c r="B256" s="170"/>
      <c r="C256" s="209"/>
      <c r="D256" s="314"/>
      <c r="E256" s="263"/>
      <c r="F256" s="392"/>
      <c r="G256" s="392"/>
      <c r="H256" s="392"/>
      <c r="I256" s="392"/>
      <c r="J256" s="393"/>
      <c r="K256" s="393"/>
      <c r="L256" s="393"/>
      <c r="M256" s="394"/>
      <c r="N256" s="181"/>
      <c r="O256" s="181"/>
      <c r="P256" s="181"/>
      <c r="Q256" s="181"/>
      <c r="R256" s="181"/>
      <c r="S256" s="181"/>
      <c r="T256" s="181"/>
      <c r="U256" s="181"/>
    </row>
    <row r="257" spans="2:21">
      <c r="B257" s="170"/>
      <c r="C257" s="209"/>
      <c r="D257" s="209"/>
      <c r="E257" s="173"/>
      <c r="F257" s="173"/>
      <c r="G257" s="173"/>
      <c r="H257" s="173"/>
      <c r="I257" s="173"/>
      <c r="J257" s="168"/>
      <c r="K257" s="165"/>
      <c r="L257" s="168"/>
      <c r="M257" s="165"/>
      <c r="N257" s="181"/>
      <c r="O257" s="181"/>
      <c r="P257" s="181"/>
      <c r="Q257" s="181"/>
      <c r="R257" s="181"/>
      <c r="S257" s="181"/>
      <c r="T257" s="181"/>
      <c r="U257" s="181"/>
    </row>
    <row r="258" spans="2:21" ht="15.75">
      <c r="B258" s="269"/>
      <c r="C258" s="171"/>
      <c r="D258" s="157"/>
      <c r="E258" s="157"/>
      <c r="F258" s="271" t="str">
        <f>F194</f>
        <v>AEPTCo subsidiaries in PJM</v>
      </c>
      <c r="G258" s="158"/>
      <c r="H258" s="168"/>
      <c r="I258" s="168"/>
      <c r="J258" s="168"/>
      <c r="K258" s="165"/>
      <c r="L258" s="168"/>
      <c r="M258" s="219"/>
      <c r="N258" s="181"/>
      <c r="O258" s="181"/>
      <c r="P258" s="181"/>
      <c r="Q258" s="181"/>
      <c r="R258" s="181"/>
      <c r="S258" s="181"/>
      <c r="T258" s="181"/>
      <c r="U258" s="181"/>
    </row>
    <row r="259" spans="2:21">
      <c r="B259" s="269"/>
      <c r="C259" s="171"/>
      <c r="D259" s="395"/>
      <c r="E259" s="171"/>
      <c r="F259" s="271" t="str">
        <f>F195</f>
        <v>Transmission Cost of Service Formula Rate</v>
      </c>
      <c r="G259" s="168"/>
      <c r="H259" s="168"/>
      <c r="I259" s="168"/>
      <c r="J259" s="168"/>
      <c r="K259" s="165"/>
      <c r="L259" s="184"/>
      <c r="M259" s="396"/>
      <c r="N259" s="181"/>
      <c r="O259" s="181"/>
      <c r="P259" s="181"/>
      <c r="Q259" s="181"/>
      <c r="R259" s="181"/>
      <c r="S259" s="181"/>
      <c r="T259" s="181"/>
      <c r="U259" s="181"/>
    </row>
    <row r="260" spans="2:21" ht="15.75">
      <c r="B260" s="269"/>
      <c r="C260" s="171"/>
      <c r="D260" s="395"/>
      <c r="E260" s="274"/>
      <c r="F260" s="271" t="str">
        <f>F196</f>
        <v>Utilizing  Actual/Projected FERC Form 1 Data</v>
      </c>
      <c r="G260" s="168"/>
      <c r="H260" s="168"/>
      <c r="I260" s="168"/>
      <c r="J260" s="168"/>
      <c r="K260" s="165"/>
      <c r="L260" s="184"/>
      <c r="M260" s="219"/>
      <c r="N260" s="181"/>
      <c r="O260" s="181"/>
      <c r="P260" s="181"/>
      <c r="Q260" s="181"/>
      <c r="R260" s="181"/>
      <c r="S260" s="181"/>
      <c r="T260" s="181"/>
      <c r="U260" s="181"/>
    </row>
    <row r="261" spans="2:21" ht="15.75">
      <c r="B261" s="170"/>
      <c r="C261" s="171"/>
      <c r="D261" s="395"/>
      <c r="E261" s="274"/>
      <c r="F261" s="271"/>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t="str">
        <f>F198</f>
        <v>AEP Appalachian Transmission Company</v>
      </c>
      <c r="G262" s="168"/>
      <c r="H262" s="168"/>
      <c r="I262" s="168"/>
      <c r="J262" s="168"/>
      <c r="K262" s="165"/>
      <c r="L262" s="184"/>
      <c r="M262" s="160"/>
      <c r="N262" s="181"/>
      <c r="O262" s="181"/>
      <c r="P262" s="181"/>
      <c r="Q262" s="181"/>
      <c r="R262" s="181"/>
      <c r="S262" s="181"/>
      <c r="T262" s="181"/>
      <c r="U262" s="181"/>
    </row>
    <row r="263" spans="2:21" ht="15.75">
      <c r="B263" s="170"/>
      <c r="C263" s="171"/>
      <c r="D263" s="395"/>
      <c r="E263" s="274"/>
      <c r="F263" s="271"/>
      <c r="G263" s="168"/>
      <c r="H263" s="168"/>
      <c r="I263" s="168"/>
      <c r="J263" s="168"/>
      <c r="K263" s="165"/>
      <c r="L263" s="184"/>
      <c r="M263" s="160"/>
      <c r="N263" s="181"/>
      <c r="O263" s="181"/>
      <c r="P263" s="181"/>
      <c r="Q263" s="181"/>
      <c r="R263" s="181"/>
      <c r="S263" s="181"/>
      <c r="T263" s="181"/>
      <c r="U263" s="181"/>
    </row>
    <row r="264" spans="2:21" ht="15.75">
      <c r="B264" s="397" t="s">
        <v>468</v>
      </c>
      <c r="C264" s="178"/>
      <c r="D264" s="205"/>
      <c r="E264" s="181"/>
      <c r="F264" s="397" t="s">
        <v>467</v>
      </c>
      <c r="G264" s="186"/>
      <c r="H264" s="186"/>
      <c r="I264" s="186"/>
      <c r="J264" s="186" t="s">
        <v>622</v>
      </c>
      <c r="K264" s="181"/>
      <c r="L264" s="186"/>
      <c r="M264" s="160"/>
      <c r="N264" s="181"/>
      <c r="O264" s="181"/>
      <c r="P264" s="181"/>
      <c r="Q264" s="181"/>
      <c r="R264" s="181"/>
      <c r="S264" s="181"/>
      <c r="T264" s="181"/>
      <c r="U264" s="181"/>
    </row>
    <row r="265" spans="2:21">
      <c r="C265" s="178"/>
      <c r="L265" s="184"/>
      <c r="M265" s="160"/>
      <c r="N265" s="181"/>
      <c r="O265" s="181"/>
      <c r="P265" s="181"/>
      <c r="Q265" s="181"/>
      <c r="R265" s="181"/>
      <c r="S265" s="181"/>
      <c r="T265" s="181"/>
      <c r="U265" s="181"/>
    </row>
    <row r="266" spans="2:21">
      <c r="B266" s="170"/>
      <c r="C266" s="171"/>
      <c r="D266" s="162" t="s">
        <v>324</v>
      </c>
      <c r="E266" s="194"/>
      <c r="F266" s="194"/>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155"/>
      <c r="D268" s="205"/>
      <c r="E268" s="181"/>
      <c r="F268" s="181"/>
      <c r="G268" s="186"/>
      <c r="H268" s="186"/>
      <c r="I268" s="186"/>
      <c r="J268" s="186"/>
      <c r="K268" s="181"/>
      <c r="L268" s="186"/>
      <c r="M268" s="181"/>
      <c r="N268" s="181"/>
      <c r="O268" s="181"/>
      <c r="P268" s="181"/>
      <c r="Q268" s="181"/>
      <c r="R268" s="181"/>
      <c r="S268" s="181"/>
      <c r="T268" s="181"/>
      <c r="U268" s="181"/>
    </row>
    <row r="269" spans="2:21">
      <c r="B269" s="398" t="s">
        <v>440</v>
      </c>
      <c r="C269" s="178"/>
      <c r="D269" s="205" t="s">
        <v>266</v>
      </c>
      <c r="E269" s="181"/>
      <c r="F269" s="181"/>
      <c r="G269" s="186"/>
      <c r="H269" s="186"/>
      <c r="I269" s="186"/>
      <c r="J269" s="186"/>
      <c r="K269" s="181"/>
      <c r="L269" s="186"/>
      <c r="M269" s="181"/>
      <c r="N269" s="181"/>
      <c r="O269" s="181"/>
      <c r="P269" s="181"/>
      <c r="Q269" s="181"/>
      <c r="R269" s="181"/>
      <c r="S269" s="181"/>
      <c r="T269" s="181"/>
      <c r="U269" s="181"/>
    </row>
    <row r="270" spans="2:21">
      <c r="B270" s="398"/>
      <c r="C270" s="272"/>
      <c r="D270" s="205" t="s">
        <v>164</v>
      </c>
      <c r="E270" s="181"/>
      <c r="F270" s="181"/>
      <c r="G270" s="181"/>
      <c r="H270" s="181"/>
      <c r="I270" s="181"/>
      <c r="J270" s="181"/>
      <c r="K270" s="181"/>
      <c r="L270" s="181"/>
      <c r="M270" s="181"/>
      <c r="N270" s="181"/>
      <c r="O270" s="181"/>
      <c r="P270" s="181"/>
      <c r="Q270" s="181"/>
      <c r="R270" s="181"/>
      <c r="S270" s="181"/>
      <c r="T270" s="181"/>
      <c r="U270" s="181"/>
    </row>
    <row r="271" spans="2:21">
      <c r="B271" s="399"/>
      <c r="C271" s="160"/>
      <c r="D271" s="155" t="s">
        <v>165</v>
      </c>
      <c r="E271" s="400"/>
      <c r="F271" s="400"/>
      <c r="G271" s="181"/>
      <c r="H271" s="181"/>
      <c r="I271" s="181"/>
      <c r="J271" s="181"/>
      <c r="K271" s="181"/>
      <c r="L271" s="181"/>
      <c r="M271" s="181"/>
      <c r="N271" s="181"/>
      <c r="O271" s="181"/>
      <c r="P271" s="181"/>
      <c r="Q271" s="181"/>
      <c r="R271" s="181"/>
      <c r="S271" s="181"/>
      <c r="T271" s="181"/>
      <c r="U271" s="181"/>
    </row>
    <row r="272" spans="2:21">
      <c r="B272" s="399"/>
      <c r="C272" s="160"/>
      <c r="D272" s="205" t="s">
        <v>267</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268</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166</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167</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605</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592</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606</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593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205" t="s">
        <v>273</v>
      </c>
      <c r="E280" s="181"/>
      <c r="F280" s="181"/>
      <c r="G280" s="181"/>
      <c r="H280" s="181"/>
      <c r="I280" s="181"/>
      <c r="J280" s="181"/>
      <c r="K280" s="181"/>
      <c r="L280" s="181"/>
      <c r="M280" s="181"/>
      <c r="N280" s="181"/>
      <c r="O280" s="181"/>
      <c r="P280" s="181"/>
      <c r="Q280" s="181"/>
      <c r="R280" s="181"/>
      <c r="S280" s="181"/>
      <c r="T280" s="181"/>
      <c r="U280" s="181"/>
    </row>
    <row r="281" spans="2:21">
      <c r="B281" s="193"/>
      <c r="C281" s="194"/>
      <c r="D281" s="393"/>
      <c r="E281" s="181"/>
      <c r="F281" s="181"/>
      <c r="G281" s="181"/>
      <c r="H281" s="181"/>
      <c r="I281" s="181"/>
      <c r="J281" s="181"/>
      <c r="K281" s="181"/>
      <c r="L281" s="205"/>
      <c r="M281" s="181"/>
      <c r="N281" s="181"/>
      <c r="O281" s="181"/>
      <c r="P281" s="181"/>
      <c r="Q281" s="181"/>
      <c r="R281" s="181"/>
      <c r="S281" s="181"/>
      <c r="T281" s="181"/>
      <c r="U281" s="181"/>
    </row>
    <row r="282" spans="2:21" ht="15" customHeight="1">
      <c r="B282" s="193" t="s">
        <v>441</v>
      </c>
      <c r="C282" s="194"/>
      <c r="D282" s="1456" t="s">
        <v>607</v>
      </c>
      <c r="E282" s="1450"/>
      <c r="F282" s="1450"/>
      <c r="G282" s="1450"/>
      <c r="H282" s="1450"/>
      <c r="I282" s="1450"/>
      <c r="J282" s="1450"/>
      <c r="K282" s="1450"/>
      <c r="L282" s="205"/>
      <c r="M282" s="181"/>
      <c r="N282" s="181"/>
      <c r="O282" s="181"/>
      <c r="P282" s="181"/>
      <c r="Q282" s="181"/>
      <c r="R282" s="181"/>
      <c r="S282" s="181"/>
      <c r="T282" s="181"/>
      <c r="U282" s="181"/>
    </row>
    <row r="283" spans="2:21">
      <c r="B283" s="193"/>
      <c r="C283" s="194"/>
      <c r="D283" s="1450"/>
      <c r="E283" s="1450"/>
      <c r="F283" s="1450"/>
      <c r="G283" s="1450"/>
      <c r="H283" s="1450"/>
      <c r="I283" s="1450"/>
      <c r="J283" s="1450"/>
      <c r="K283" s="1450"/>
      <c r="L283" s="205"/>
      <c r="M283" s="181"/>
      <c r="N283" s="181"/>
      <c r="O283" s="181"/>
      <c r="P283" s="181"/>
      <c r="Q283" s="181"/>
      <c r="R283" s="181"/>
      <c r="S283" s="181"/>
      <c r="T283" s="181"/>
      <c r="U283" s="181"/>
    </row>
    <row r="284" spans="2:21">
      <c r="E284" s="181"/>
      <c r="F284" s="181"/>
      <c r="G284" s="181"/>
      <c r="H284" s="181"/>
      <c r="I284" s="181"/>
      <c r="J284" s="181"/>
      <c r="K284" s="181"/>
      <c r="L284" s="181"/>
      <c r="M284" s="181"/>
      <c r="N284" s="181"/>
      <c r="O284" s="181"/>
      <c r="P284" s="181"/>
      <c r="Q284" s="181"/>
      <c r="R284" s="181"/>
      <c r="S284" s="181"/>
      <c r="T284" s="181"/>
      <c r="U284" s="181"/>
    </row>
    <row r="285" spans="2:21">
      <c r="B285" s="193" t="s">
        <v>442</v>
      </c>
      <c r="C285" s="194"/>
      <c r="D285" s="394" t="s">
        <v>800</v>
      </c>
      <c r="E285" s="181"/>
      <c r="F285" s="181"/>
      <c r="G285" s="181"/>
      <c r="H285" s="181"/>
      <c r="I285" s="181"/>
      <c r="J285" s="181"/>
      <c r="K285" s="181"/>
      <c r="L285" s="181"/>
      <c r="M285" s="181"/>
      <c r="N285" s="181"/>
      <c r="O285" s="181"/>
      <c r="P285" s="181"/>
      <c r="Q285" s="181"/>
      <c r="R285" s="181"/>
      <c r="S285" s="181"/>
      <c r="T285" s="181"/>
      <c r="U285" s="181"/>
    </row>
    <row r="286" spans="2:21">
      <c r="B286" s="193"/>
      <c r="C286" s="194"/>
      <c r="D286" s="394"/>
      <c r="E286" s="181"/>
      <c r="F286" s="181"/>
      <c r="G286" s="181"/>
      <c r="H286" s="181"/>
      <c r="I286" s="181"/>
      <c r="J286" s="181"/>
      <c r="K286" s="181"/>
      <c r="L286" s="181"/>
      <c r="M286" s="181"/>
      <c r="N286" s="181"/>
      <c r="O286" s="181"/>
      <c r="P286" s="181"/>
      <c r="Q286" s="181"/>
      <c r="R286" s="181"/>
      <c r="S286" s="181"/>
      <c r="T286" s="181"/>
      <c r="U286" s="181"/>
    </row>
    <row r="287" spans="2:21">
      <c r="B287" s="193" t="s">
        <v>443</v>
      </c>
      <c r="C287" s="194"/>
      <c r="D287" s="205" t="s">
        <v>30</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279</v>
      </c>
      <c r="E288" s="181"/>
      <c r="F288" s="181"/>
      <c r="G288" s="181"/>
      <c r="H288" s="181"/>
      <c r="I288" s="181"/>
      <c r="J288" s="181"/>
      <c r="K288" s="181"/>
      <c r="L288" s="181"/>
      <c r="M288" s="181"/>
      <c r="N288" s="181"/>
      <c r="O288" s="181"/>
      <c r="P288" s="205"/>
      <c r="Q288" s="205"/>
      <c r="R288" s="181"/>
      <c r="S288" s="181"/>
      <c r="T288" s="181"/>
      <c r="U288" s="181"/>
    </row>
    <row r="289" spans="2:21">
      <c r="B289" s="193"/>
      <c r="C289" s="194"/>
      <c r="D289" s="205" t="s">
        <v>285</v>
      </c>
      <c r="E289" s="181"/>
      <c r="F289" s="181"/>
      <c r="G289" s="181"/>
      <c r="H289" s="181"/>
      <c r="I289" s="181"/>
      <c r="J289" s="181"/>
      <c r="K289" s="181"/>
      <c r="L289" s="325"/>
      <c r="M289" s="181"/>
      <c r="N289" s="181"/>
      <c r="O289" s="181"/>
      <c r="P289" s="205"/>
      <c r="Q289" s="205"/>
      <c r="R289" s="181"/>
      <c r="S289" s="181"/>
      <c r="T289" s="181"/>
      <c r="U289" s="181"/>
    </row>
    <row r="290" spans="2:21">
      <c r="B290" s="193"/>
      <c r="C290" s="194"/>
      <c r="D290" s="205" t="s">
        <v>154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594</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595</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596</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t="s">
        <v>100</v>
      </c>
      <c r="E294" s="181"/>
      <c r="F294" s="181"/>
      <c r="G294" s="181"/>
      <c r="H294" s="181"/>
      <c r="I294" s="181"/>
      <c r="J294" s="181"/>
      <c r="K294" s="181"/>
      <c r="L294" s="325"/>
      <c r="M294" s="181"/>
      <c r="N294" s="181"/>
      <c r="O294" s="181"/>
      <c r="P294" s="205"/>
      <c r="Q294" s="181"/>
      <c r="R294" s="181"/>
      <c r="S294" s="181"/>
      <c r="T294" s="181"/>
      <c r="U294" s="181"/>
    </row>
    <row r="295" spans="2:21">
      <c r="B295" s="193"/>
      <c r="C295" s="194"/>
      <c r="D295" s="205"/>
      <c r="E295" s="181"/>
      <c r="F295" s="181"/>
      <c r="G295" s="181"/>
      <c r="H295" s="181"/>
      <c r="I295" s="181"/>
      <c r="J295" s="181"/>
      <c r="K295" s="181"/>
      <c r="L295" s="325"/>
      <c r="M295" s="181"/>
      <c r="N295" s="181"/>
      <c r="O295" s="181"/>
      <c r="P295" s="205"/>
      <c r="Q295" s="181"/>
      <c r="R295" s="181"/>
      <c r="S295" s="181"/>
      <c r="T295" s="181"/>
      <c r="U295" s="181"/>
    </row>
    <row r="296" spans="2:21">
      <c r="B296" s="193" t="s">
        <v>444</v>
      </c>
      <c r="C296" s="205"/>
      <c r="D296"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401"/>
      <c r="F296" s="401"/>
      <c r="G296" s="401"/>
      <c r="H296" s="401"/>
      <c r="I296" s="401"/>
      <c r="J296" s="401"/>
      <c r="K296" s="401"/>
      <c r="L296" s="402"/>
      <c r="M296" s="181"/>
      <c r="N296" s="181"/>
      <c r="O296" s="181"/>
      <c r="P296" s="181"/>
      <c r="Q296" s="181"/>
      <c r="R296" s="181"/>
      <c r="S296" s="181"/>
      <c r="T296" s="181"/>
      <c r="U296" s="181"/>
    </row>
    <row r="297" spans="2:21">
      <c r="B297" s="193"/>
      <c r="C297" s="205"/>
      <c r="D297"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3"/>
      <c r="F297" s="243"/>
      <c r="G297" s="243"/>
      <c r="H297" s="243"/>
      <c r="I297" s="243"/>
      <c r="J297" s="243"/>
      <c r="K297" s="243"/>
      <c r="L297" s="402"/>
      <c r="M297" s="181"/>
      <c r="N297" s="181"/>
      <c r="O297" s="181"/>
      <c r="P297" s="181"/>
      <c r="Q297" s="181"/>
      <c r="R297" s="181"/>
      <c r="S297" s="181"/>
      <c r="T297" s="181"/>
      <c r="U297" s="181"/>
    </row>
    <row r="298" spans="2:21">
      <c r="B298" s="193"/>
      <c r="C298" s="205"/>
      <c r="D298" s="404" t="str">
        <f>+"2)  Costs of Transmission of Electricity by Others, as described in Note H."</f>
        <v>2)  Costs of Transmission of Electricity by Others, as described in Note H.</v>
      </c>
      <c r="E298" s="401"/>
      <c r="F298" s="401"/>
      <c r="G298" s="401"/>
      <c r="H298" s="401"/>
      <c r="I298" s="401"/>
      <c r="J298" s="401"/>
      <c r="K298" s="401"/>
      <c r="L298" s="402"/>
      <c r="M298" s="181"/>
      <c r="N298" s="181"/>
      <c r="O298" s="181"/>
      <c r="P298" s="181"/>
      <c r="Q298" s="181"/>
      <c r="R298" s="181"/>
      <c r="S298" s="181"/>
      <c r="T298" s="181"/>
      <c r="U298" s="181"/>
    </row>
    <row r="299" spans="2:21">
      <c r="B299" s="193"/>
      <c r="C299" s="205"/>
      <c r="D299" s="403" t="str">
        <f>+"3)  The impact of state regulatory deferrals and amortizations, as shown on line  "&amp;B133&amp;""</f>
        <v>3)  The impact of state regulatory deferrals and amortizations, as shown on line  65</v>
      </c>
      <c r="E299" s="243"/>
      <c r="F299" s="243"/>
      <c r="G299" s="243"/>
      <c r="H299" s="243"/>
      <c r="I299" s="243"/>
      <c r="J299" s="243"/>
      <c r="K299" s="243"/>
      <c r="L299" s="402"/>
      <c r="M299" s="181"/>
      <c r="N299" s="181"/>
      <c r="O299" s="181"/>
      <c r="P299" s="181"/>
      <c r="Q299" s="181"/>
      <c r="R299" s="181"/>
      <c r="S299" s="181"/>
      <c r="T299" s="181"/>
      <c r="U299" s="181"/>
    </row>
    <row r="300" spans="2:21">
      <c r="B300" s="193"/>
      <c r="C300" s="243"/>
      <c r="D300" s="404" t="str">
        <f>"4) All A&amp;G Expenses, as shown on line "&amp;B147&amp;"."</f>
        <v>4) All A&amp;G Expenses, as shown on line 78.</v>
      </c>
      <c r="E300" s="401"/>
      <c r="F300" s="401"/>
      <c r="G300" s="401"/>
      <c r="H300" s="401"/>
      <c r="I300" s="401"/>
      <c r="J300" s="401"/>
      <c r="K300" s="401"/>
      <c r="L300" s="402"/>
      <c r="M300" s="181"/>
      <c r="N300" s="181"/>
      <c r="O300" s="181"/>
      <c r="P300" s="181"/>
      <c r="Q300" s="181"/>
      <c r="R300" s="181"/>
      <c r="S300" s="181"/>
      <c r="T300" s="181"/>
      <c r="U300" s="181"/>
    </row>
    <row r="301" spans="2:21">
      <c r="B301" s="193"/>
      <c r="C301" s="194"/>
      <c r="D301" s="403"/>
      <c r="E301" s="405"/>
      <c r="F301" s="405"/>
      <c r="G301" s="405"/>
      <c r="H301" s="405"/>
      <c r="I301" s="405"/>
      <c r="J301" s="405"/>
      <c r="K301" s="405"/>
      <c r="L301" s="181"/>
      <c r="M301" s="181"/>
      <c r="N301" s="181"/>
      <c r="O301" s="181"/>
      <c r="P301" s="181"/>
      <c r="Q301" s="181"/>
      <c r="R301" s="181"/>
      <c r="S301" s="181"/>
      <c r="T301" s="181"/>
      <c r="U301" s="181"/>
    </row>
    <row r="302" spans="2:21">
      <c r="B302" s="398" t="s">
        <v>445</v>
      </c>
      <c r="C302" s="272"/>
      <c r="D302"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
        <v>501</v>
      </c>
      <c r="E303" s="406"/>
      <c r="F303" s="406"/>
      <c r="G303" s="406"/>
      <c r="H303" s="406"/>
      <c r="I303" s="406"/>
      <c r="J303" s="406"/>
      <c r="K303" s="406"/>
      <c r="L303" s="160"/>
      <c r="M303" s="181"/>
      <c r="N303" s="181"/>
      <c r="O303" s="181"/>
      <c r="P303" s="181"/>
      <c r="Q303" s="181"/>
      <c r="R303" s="181"/>
      <c r="S303" s="181"/>
      <c r="T303" s="181"/>
      <c r="U303" s="181"/>
    </row>
    <row r="304" spans="2:21">
      <c r="B304" s="399"/>
      <c r="C304" s="160"/>
      <c r="D304" s="406" t="str">
        <f>"expense is included on line "&amp;B185&amp;"."</f>
        <v>expense is included on line 110.</v>
      </c>
      <c r="E304" s="406"/>
      <c r="F304" s="406"/>
      <c r="G304" s="406"/>
      <c r="H304" s="406"/>
      <c r="I304" s="406"/>
      <c r="J304" s="406"/>
      <c r="K304" s="406"/>
      <c r="L304" s="160"/>
      <c r="M304" s="181"/>
      <c r="N304" s="181"/>
      <c r="O304" s="181"/>
      <c r="P304" s="181"/>
      <c r="Q304" s="181"/>
      <c r="R304" s="181"/>
      <c r="S304" s="181"/>
      <c r="T304" s="181"/>
      <c r="U304" s="181"/>
    </row>
    <row r="305" spans="2:21" ht="21" customHeight="1">
      <c r="B305" s="399"/>
      <c r="C305" s="160"/>
      <c r="D305" s="406"/>
      <c r="E305" s="406"/>
      <c r="F305" s="406"/>
      <c r="G305" s="406"/>
      <c r="H305" s="406"/>
      <c r="I305" s="406"/>
      <c r="J305" s="406"/>
      <c r="K305" s="406"/>
      <c r="L305" s="160"/>
      <c r="M305" s="160"/>
      <c r="N305" s="181"/>
      <c r="O305" s="181"/>
      <c r="P305" s="181"/>
      <c r="Q305" s="181"/>
      <c r="R305" s="181"/>
      <c r="S305" s="181"/>
      <c r="T305" s="181"/>
      <c r="U305" s="181"/>
    </row>
    <row r="306" spans="2:21" ht="14.25" customHeight="1">
      <c r="B306" s="398" t="s">
        <v>446</v>
      </c>
      <c r="C306" s="160"/>
      <c r="D306" s="1442"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42"/>
      <c r="F306" s="1442"/>
      <c r="G306" s="1442"/>
      <c r="H306" s="1442"/>
      <c r="I306" s="1442"/>
      <c r="J306" s="1442"/>
      <c r="K306" s="1442"/>
      <c r="L306" s="160"/>
      <c r="M306" s="160"/>
      <c r="N306" s="181"/>
      <c r="O306" s="181"/>
      <c r="P306" s="181"/>
      <c r="Q306" s="181"/>
      <c r="R306" s="181"/>
      <c r="S306" s="181"/>
      <c r="T306" s="181"/>
      <c r="U306" s="181"/>
    </row>
    <row r="307" spans="2:21" ht="45" customHeight="1">
      <c r="B307" s="398"/>
      <c r="C307" s="160"/>
      <c r="D307" s="1442"/>
      <c r="E307" s="1442"/>
      <c r="F307" s="1442"/>
      <c r="G307" s="1442"/>
      <c r="H307" s="1442"/>
      <c r="I307" s="1442"/>
      <c r="J307" s="1442"/>
      <c r="K307" s="1442"/>
      <c r="L307" s="160"/>
      <c r="M307" s="160"/>
      <c r="N307" s="181"/>
      <c r="O307" s="181"/>
      <c r="P307" s="181"/>
      <c r="Q307" s="181"/>
      <c r="R307" s="181"/>
      <c r="S307" s="181"/>
      <c r="T307" s="181"/>
      <c r="U307" s="181"/>
    </row>
    <row r="308" spans="2:21" ht="5.25" hidden="1" customHeight="1">
      <c r="B308" s="398"/>
      <c r="C308" s="160"/>
      <c r="D308" s="1442"/>
      <c r="E308" s="1442"/>
      <c r="F308" s="1442"/>
      <c r="G308" s="1442"/>
      <c r="H308" s="1442"/>
      <c r="I308" s="1442"/>
      <c r="J308" s="1442"/>
      <c r="K308" s="1442"/>
      <c r="L308" s="160"/>
      <c r="M308" s="160"/>
      <c r="N308" s="181"/>
      <c r="O308" s="181"/>
      <c r="P308" s="181"/>
      <c r="Q308" s="181"/>
      <c r="R308" s="181"/>
      <c r="S308" s="181"/>
      <c r="T308" s="181"/>
      <c r="U308" s="181"/>
    </row>
    <row r="309" spans="2:21">
      <c r="B309" s="398"/>
      <c r="C309" s="160"/>
      <c r="D309" s="403"/>
      <c r="E309" s="406"/>
      <c r="F309" s="406"/>
      <c r="G309" s="406"/>
      <c r="H309" s="406"/>
      <c r="I309" s="406"/>
      <c r="J309" s="406"/>
      <c r="K309" s="406"/>
      <c r="L309" s="160"/>
      <c r="M309" s="160"/>
      <c r="N309" s="181"/>
      <c r="O309" s="181"/>
      <c r="P309" s="181"/>
      <c r="Q309" s="181"/>
      <c r="R309" s="181"/>
      <c r="S309" s="181"/>
      <c r="T309" s="181"/>
      <c r="U309" s="181"/>
    </row>
    <row r="310" spans="2:21">
      <c r="B310" s="398" t="s">
        <v>447</v>
      </c>
      <c r="C310" s="160"/>
      <c r="D310" s="1445"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45"/>
      <c r="F310" s="1445"/>
      <c r="G310" s="1445"/>
      <c r="H310" s="1445"/>
      <c r="I310" s="1445"/>
      <c r="J310" s="1445"/>
      <c r="K310" s="1445"/>
      <c r="L310" s="160"/>
      <c r="M310" s="160"/>
      <c r="N310" s="181"/>
      <c r="O310" s="181"/>
      <c r="P310" s="181"/>
      <c r="Q310" s="181"/>
      <c r="R310" s="181"/>
      <c r="S310" s="181"/>
      <c r="T310" s="181"/>
      <c r="U310" s="181"/>
    </row>
    <row r="311" spans="2:21">
      <c r="B311" s="398"/>
      <c r="C311" s="160"/>
      <c r="D311" s="1445"/>
      <c r="E311" s="1445"/>
      <c r="F311" s="1445"/>
      <c r="G311" s="1445"/>
      <c r="H311" s="1445"/>
      <c r="I311" s="1445"/>
      <c r="J311" s="1445"/>
      <c r="K311" s="1445"/>
      <c r="L311" s="160"/>
      <c r="M311" s="160"/>
      <c r="N311" s="181"/>
      <c r="O311" s="181"/>
      <c r="P311" s="181"/>
      <c r="Q311" s="181"/>
      <c r="R311" s="181"/>
      <c r="S311" s="181"/>
      <c r="T311" s="181"/>
      <c r="U311" s="181"/>
    </row>
    <row r="312" spans="2:21">
      <c r="B312" s="398"/>
      <c r="C312" s="160"/>
      <c r="D312" s="1446"/>
      <c r="E312" s="1446"/>
      <c r="F312" s="1446"/>
      <c r="G312" s="1446"/>
      <c r="H312" s="1446"/>
      <c r="I312" s="1446"/>
      <c r="J312" s="1446"/>
      <c r="K312" s="1446"/>
      <c r="L312" s="160"/>
      <c r="M312" s="160"/>
      <c r="N312" s="181"/>
      <c r="O312" s="181"/>
      <c r="P312" s="181"/>
      <c r="Q312" s="181"/>
      <c r="R312" s="181"/>
      <c r="S312" s="181"/>
      <c r="T312" s="181"/>
      <c r="U312" s="181"/>
    </row>
    <row r="313" spans="2:21">
      <c r="B313" s="398"/>
      <c r="C313" s="160"/>
      <c r="D313" s="1447"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47"/>
      <c r="F313" s="1447"/>
      <c r="G313" s="1447"/>
      <c r="H313" s="1447"/>
      <c r="I313" s="1447"/>
      <c r="J313" s="1447"/>
      <c r="K313" s="407"/>
      <c r="L313" s="160"/>
      <c r="M313" s="160"/>
      <c r="N313" s="181"/>
      <c r="O313" s="181"/>
      <c r="P313" s="181"/>
      <c r="Q313" s="181"/>
      <c r="R313" s="181"/>
      <c r="S313" s="181"/>
      <c r="T313" s="181"/>
      <c r="U313" s="181"/>
    </row>
    <row r="314" spans="2:21">
      <c r="B314" s="398"/>
      <c r="C314" s="160"/>
      <c r="D314" s="1447"/>
      <c r="E314" s="1447"/>
      <c r="F314" s="1447"/>
      <c r="G314" s="1447"/>
      <c r="H314" s="1447"/>
      <c r="I314" s="1447"/>
      <c r="J314" s="1447"/>
      <c r="K314" s="407"/>
      <c r="L314" s="160"/>
      <c r="M314" s="160"/>
      <c r="N314" s="181"/>
      <c r="O314" s="181"/>
      <c r="P314" s="181"/>
      <c r="Q314" s="181"/>
      <c r="R314" s="181"/>
      <c r="S314" s="181"/>
      <c r="T314" s="181"/>
      <c r="U314" s="181"/>
    </row>
    <row r="315" spans="2:21" ht="22.5" customHeight="1">
      <c r="B315" s="398"/>
      <c r="C315" s="160"/>
      <c r="D315" s="406" t="str">
        <f>"The company records referenced on line"&amp;B150&amp;" is the "&amp;F9&amp;" general ledger."</f>
        <v>The company records referenced on line80 is the AEP Appalachian Transmission Company general ledger.</v>
      </c>
      <c r="E315" s="408"/>
      <c r="F315" s="408"/>
      <c r="G315" s="408"/>
      <c r="H315" s="408"/>
      <c r="I315" s="408"/>
      <c r="J315" s="408"/>
      <c r="K315" s="407"/>
      <c r="L315" s="160"/>
      <c r="M315" s="160"/>
      <c r="N315" s="181"/>
      <c r="O315" s="181"/>
      <c r="P315" s="181"/>
      <c r="Q315" s="181"/>
      <c r="R315" s="181"/>
      <c r="S315" s="181"/>
      <c r="T315" s="181"/>
      <c r="U315" s="181"/>
    </row>
    <row r="316" spans="2:21">
      <c r="B316" s="398"/>
      <c r="C316" s="160"/>
      <c r="D316" s="408"/>
      <c r="E316" s="408"/>
      <c r="F316" s="408"/>
      <c r="G316" s="408"/>
      <c r="H316" s="408"/>
      <c r="I316" s="408"/>
      <c r="J316" s="408"/>
      <c r="K316" s="408"/>
      <c r="L316" s="160"/>
      <c r="M316" s="160"/>
      <c r="N316" s="181"/>
      <c r="O316" s="181"/>
      <c r="P316" s="181"/>
      <c r="Q316" s="181"/>
      <c r="R316" s="181"/>
      <c r="S316" s="181"/>
      <c r="T316" s="181"/>
      <c r="U316" s="181"/>
    </row>
    <row r="317" spans="2:21">
      <c r="B317" s="398" t="s">
        <v>448</v>
      </c>
      <c r="C317" s="160"/>
      <c r="D317" s="406" t="s">
        <v>597</v>
      </c>
      <c r="E317" s="209"/>
      <c r="F317" s="209"/>
      <c r="G317" s="209"/>
      <c r="H317" s="209"/>
      <c r="I317" s="209"/>
      <c r="J317" s="209"/>
      <c r="K317" s="209"/>
      <c r="L317" s="160"/>
      <c r="M317" s="160"/>
      <c r="N317" s="181"/>
      <c r="O317" s="181"/>
      <c r="P317" s="181"/>
      <c r="Q317" s="181"/>
      <c r="R317" s="181"/>
      <c r="S317" s="181"/>
      <c r="T317" s="181"/>
      <c r="U317" s="181"/>
    </row>
    <row r="318" spans="2:21">
      <c r="B318" s="398"/>
      <c r="C318" s="160"/>
      <c r="D318" s="409"/>
      <c r="E318" s="409"/>
      <c r="F318" s="409"/>
      <c r="G318" s="409"/>
      <c r="H318" s="409"/>
      <c r="I318" s="409"/>
      <c r="J318" s="409"/>
      <c r="K318" s="409"/>
      <c r="L318" s="160"/>
      <c r="M318" s="160"/>
      <c r="N318" s="181"/>
      <c r="O318" s="181"/>
      <c r="P318" s="181"/>
      <c r="Q318" s="181"/>
      <c r="R318" s="181"/>
      <c r="S318" s="181"/>
      <c r="T318" s="181"/>
      <c r="U318" s="181"/>
    </row>
    <row r="319" spans="2:21" ht="15" customHeight="1">
      <c r="B319" s="398" t="s">
        <v>449</v>
      </c>
      <c r="C319" s="160"/>
      <c r="D319" s="1449" t="s">
        <v>7</v>
      </c>
      <c r="E319" s="1450"/>
      <c r="F319" s="1450"/>
      <c r="G319" s="1450"/>
      <c r="H319" s="1450"/>
      <c r="I319" s="1450"/>
      <c r="J319" s="1450"/>
      <c r="K319" s="406"/>
      <c r="L319" s="160"/>
      <c r="M319" s="160"/>
      <c r="N319" s="181"/>
      <c r="O319" s="181"/>
      <c r="P319" s="181"/>
      <c r="Q319" s="181"/>
      <c r="R319" s="181"/>
      <c r="S319" s="181"/>
      <c r="T319" s="181"/>
      <c r="U319" s="181"/>
    </row>
    <row r="320" spans="2:21">
      <c r="B320" s="398"/>
      <c r="C320" s="160"/>
      <c r="D320" s="1451"/>
      <c r="E320" s="1451"/>
      <c r="F320" s="1451"/>
      <c r="G320" s="1451"/>
      <c r="H320" s="1451"/>
      <c r="I320" s="1451"/>
      <c r="J320" s="1451"/>
      <c r="K320" s="409"/>
      <c r="L320" s="160"/>
      <c r="M320" s="160"/>
      <c r="N320" s="181"/>
      <c r="O320" s="181"/>
      <c r="P320" s="181"/>
      <c r="Q320" s="181"/>
      <c r="R320" s="181"/>
      <c r="S320" s="181"/>
      <c r="T320" s="181"/>
      <c r="U320" s="181"/>
    </row>
    <row r="321" spans="2:21">
      <c r="B321" s="398"/>
      <c r="C321" s="160"/>
      <c r="D321" s="1450"/>
      <c r="E321" s="1450"/>
      <c r="F321" s="1450"/>
      <c r="G321" s="1450"/>
      <c r="H321" s="1450"/>
      <c r="I321" s="1450"/>
      <c r="J321" s="1450"/>
      <c r="K321" s="406"/>
      <c r="L321" s="160"/>
      <c r="M321" s="160"/>
      <c r="N321" s="181"/>
      <c r="O321" s="181"/>
      <c r="P321" s="181"/>
      <c r="Q321" s="181"/>
      <c r="R321" s="181"/>
      <c r="S321" s="181"/>
      <c r="T321" s="181"/>
      <c r="U321" s="181"/>
    </row>
    <row r="322" spans="2:21">
      <c r="B322" s="398"/>
      <c r="C322" s="160"/>
      <c r="D322" s="160"/>
      <c r="E322" s="160"/>
      <c r="F322" s="160"/>
      <c r="G322" s="160"/>
      <c r="H322" s="160"/>
      <c r="I322" s="160"/>
      <c r="J322" s="160"/>
      <c r="K322" s="160"/>
      <c r="L322" s="160"/>
      <c r="M322" s="160"/>
      <c r="N322" s="181"/>
      <c r="O322" s="181"/>
      <c r="P322" s="181"/>
      <c r="Q322" s="181"/>
      <c r="R322" s="181"/>
      <c r="S322" s="181"/>
      <c r="T322" s="181"/>
      <c r="U322" s="181"/>
    </row>
    <row r="323" spans="2:21" ht="15" customHeight="1">
      <c r="B323" s="193" t="s">
        <v>450</v>
      </c>
      <c r="C323" s="160"/>
      <c r="D323" s="1443" t="s">
        <v>798</v>
      </c>
      <c r="E323" s="1444"/>
      <c r="F323" s="1444"/>
      <c r="G323" s="1444"/>
      <c r="H323" s="1444"/>
      <c r="I323" s="1444"/>
      <c r="J323" s="1444"/>
      <c r="K323" s="1444"/>
      <c r="L323" s="160"/>
      <c r="M323" s="160"/>
      <c r="N323" s="181"/>
      <c r="O323" s="181"/>
      <c r="P323" s="181"/>
      <c r="Q323" s="181"/>
      <c r="R323" s="181"/>
      <c r="S323" s="181"/>
      <c r="T323" s="181"/>
      <c r="U323" s="181"/>
    </row>
    <row r="324" spans="2:21">
      <c r="B324" s="398"/>
      <c r="C324" s="160"/>
      <c r="D324" s="160"/>
      <c r="E324" s="160"/>
      <c r="F324" s="160"/>
      <c r="G324" s="160"/>
      <c r="H324" s="160"/>
      <c r="I324" s="160"/>
      <c r="J324" s="160"/>
      <c r="K324" s="160"/>
      <c r="L324" s="160"/>
      <c r="M324" s="160"/>
      <c r="N324" s="181"/>
      <c r="O324" s="181"/>
      <c r="P324" s="181"/>
      <c r="Q324" s="181"/>
      <c r="R324" s="181"/>
      <c r="S324" s="181"/>
      <c r="T324" s="181"/>
      <c r="U324" s="181"/>
    </row>
    <row r="325" spans="2:21">
      <c r="B325" s="193" t="s">
        <v>451</v>
      </c>
      <c r="C325" s="194"/>
      <c r="D325" s="205" t="s">
        <v>150</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269</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205" t="s">
        <v>270</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t="s">
        <v>271</v>
      </c>
      <c r="E328" s="181"/>
      <c r="F328" s="181"/>
      <c r="G328" s="181"/>
      <c r="H328" s="181"/>
      <c r="I328" s="181"/>
      <c r="J328" s="181"/>
      <c r="K328" s="181"/>
      <c r="L328" s="181"/>
      <c r="M328" s="160"/>
      <c r="N328" s="181"/>
      <c r="O328" s="181"/>
      <c r="P328" s="181"/>
      <c r="Q328" s="181"/>
      <c r="R328" s="181"/>
      <c r="S328" s="181"/>
      <c r="T328" s="181"/>
      <c r="U328" s="181"/>
    </row>
    <row r="329" spans="2:21">
      <c r="B329" s="193"/>
      <c r="C329" s="194"/>
      <c r="D329" s="160"/>
      <c r="E329" s="181"/>
      <c r="F329" s="181"/>
      <c r="G329" s="181"/>
      <c r="H329" s="181"/>
      <c r="I329" s="181"/>
      <c r="J329" s="181"/>
      <c r="K329" s="181"/>
      <c r="L329" s="181"/>
      <c r="M329" s="160"/>
      <c r="N329" s="181"/>
      <c r="O329" s="181"/>
      <c r="P329" s="181"/>
      <c r="Q329" s="181"/>
      <c r="R329" s="181"/>
      <c r="S329" s="181"/>
      <c r="T329" s="181"/>
      <c r="U329" s="181"/>
    </row>
    <row r="330" spans="2:21" ht="25.5" customHeight="1">
      <c r="B330" s="193" t="s">
        <v>452</v>
      </c>
      <c r="C330" s="194"/>
      <c r="D330" s="1448" t="s">
        <v>799</v>
      </c>
      <c r="E330" s="1448"/>
      <c r="F330" s="1448"/>
      <c r="G330" s="1448"/>
      <c r="H330" s="1448"/>
      <c r="I330" s="1448"/>
      <c r="J330" s="1448"/>
      <c r="K330" s="1448"/>
      <c r="L330" s="1448"/>
      <c r="M330" s="160"/>
      <c r="N330" s="181"/>
      <c r="O330" s="181"/>
      <c r="P330" s="181"/>
      <c r="Q330" s="181"/>
      <c r="R330" s="181"/>
      <c r="S330" s="181"/>
      <c r="T330" s="181"/>
      <c r="U330" s="181"/>
    </row>
    <row r="331" spans="2:21">
      <c r="B331" s="193"/>
      <c r="C331" s="194"/>
      <c r="D331" s="1448"/>
      <c r="E331" s="1448"/>
      <c r="F331" s="1448"/>
      <c r="G331" s="1448"/>
      <c r="H331" s="1448"/>
      <c r="I331" s="1448"/>
      <c r="J331" s="1448"/>
      <c r="K331" s="1448"/>
      <c r="L331" s="1448"/>
      <c r="M331" s="160"/>
      <c r="N331" s="181"/>
      <c r="O331" s="181"/>
      <c r="P331" s="181"/>
      <c r="Q331" s="181"/>
      <c r="R331" s="181"/>
      <c r="S331" s="181"/>
      <c r="T331" s="181"/>
      <c r="U331" s="181"/>
    </row>
    <row r="332" spans="2:21">
      <c r="B332" s="193"/>
      <c r="C332" s="194"/>
      <c r="D332" s="1448"/>
      <c r="E332" s="1448"/>
      <c r="F332" s="1448"/>
      <c r="G332" s="1448"/>
      <c r="H332" s="1448"/>
      <c r="I332" s="1448"/>
      <c r="J332" s="1448"/>
      <c r="K332" s="1448"/>
      <c r="L332" s="1448"/>
      <c r="M332" s="160"/>
      <c r="N332" s="181"/>
      <c r="O332" s="181"/>
      <c r="P332" s="181"/>
      <c r="Q332" s="181"/>
      <c r="R332" s="181"/>
      <c r="S332" s="181"/>
      <c r="T332" s="181"/>
      <c r="U332" s="181"/>
    </row>
    <row r="333" spans="2:21">
      <c r="B333" s="193"/>
      <c r="C333" s="194"/>
      <c r="D333" s="410"/>
      <c r="E333" s="181"/>
      <c r="F333" s="181"/>
      <c r="G333" s="181"/>
      <c r="H333" s="181"/>
      <c r="I333" s="181"/>
      <c r="J333" s="181"/>
      <c r="K333" s="181"/>
      <c r="L333" s="181"/>
      <c r="M333" s="160"/>
      <c r="N333" s="181"/>
      <c r="O333" s="181"/>
      <c r="P333" s="181"/>
      <c r="Q333" s="181"/>
      <c r="R333" s="181"/>
      <c r="S333" s="181"/>
      <c r="T333" s="181"/>
      <c r="U333" s="181"/>
    </row>
    <row r="334" spans="2:21">
      <c r="B334" s="271" t="s">
        <v>31</v>
      </c>
      <c r="C334" s="194"/>
      <c r="D334" s="205" t="s">
        <v>588</v>
      </c>
      <c r="E334" s="164"/>
      <c r="F334" s="164"/>
      <c r="G334" s="164"/>
      <c r="H334" s="164"/>
      <c r="I334" s="164"/>
      <c r="J334" s="164"/>
      <c r="K334" s="160"/>
      <c r="L334" s="160"/>
      <c r="M334" s="160"/>
      <c r="N334" s="181"/>
      <c r="O334" s="181"/>
      <c r="P334" s="181"/>
      <c r="Q334" s="181"/>
      <c r="R334" s="181"/>
      <c r="S334" s="181"/>
      <c r="T334" s="181"/>
      <c r="U334" s="181"/>
    </row>
    <row r="335" spans="2:21">
      <c r="B335" s="271"/>
      <c r="C335" s="194"/>
      <c r="D335" s="164"/>
      <c r="E335" s="164"/>
      <c r="F335" s="164"/>
      <c r="G335" s="164"/>
      <c r="H335" s="164"/>
      <c r="I335" s="164"/>
      <c r="J335" s="164"/>
      <c r="K335" s="160"/>
      <c r="L335" s="160"/>
      <c r="M335" s="160"/>
      <c r="N335" s="181"/>
      <c r="O335" s="181"/>
      <c r="P335" s="181"/>
      <c r="Q335" s="181"/>
      <c r="R335" s="181"/>
      <c r="S335" s="181"/>
      <c r="T335" s="181"/>
      <c r="U335" s="181"/>
    </row>
    <row r="336" spans="2:21">
      <c r="B336" s="193" t="s">
        <v>99</v>
      </c>
      <c r="C336" s="194"/>
      <c r="D336" s="205" t="s">
        <v>138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18</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19</v>
      </c>
      <c r="E338" s="160"/>
      <c r="F338" s="160"/>
      <c r="G338" s="160"/>
      <c r="H338" s="160"/>
      <c r="I338" s="160"/>
      <c r="J338" s="160"/>
      <c r="K338" s="160"/>
      <c r="L338" s="160"/>
      <c r="M338" s="160"/>
      <c r="N338" s="181"/>
      <c r="O338" s="181"/>
      <c r="P338" s="181"/>
      <c r="Q338" s="181"/>
      <c r="R338" s="181"/>
      <c r="S338" s="181"/>
      <c r="T338" s="181"/>
      <c r="U338" s="181"/>
    </row>
    <row r="339" spans="2:21">
      <c r="B339" s="271"/>
      <c r="C339" s="194"/>
      <c r="D339" s="205" t="s">
        <v>20</v>
      </c>
      <c r="E339" s="160"/>
      <c r="F339" s="160"/>
      <c r="G339" s="160"/>
      <c r="H339" s="160"/>
      <c r="I339" s="160"/>
      <c r="J339" s="160"/>
      <c r="K339" s="160"/>
      <c r="L339" s="160"/>
      <c r="M339" s="160"/>
      <c r="N339" s="181"/>
      <c r="O339" s="181"/>
      <c r="P339" s="181"/>
      <c r="Q339" s="181"/>
      <c r="R339" s="181"/>
      <c r="S339" s="181"/>
      <c r="T339" s="181"/>
      <c r="U339" s="181"/>
    </row>
    <row r="340" spans="2:21">
      <c r="B340" s="193"/>
      <c r="C340" s="194"/>
      <c r="D340" s="205" t="str">
        <f>"(ln "&amp;B174&amp;") multiplied by (1/1-T) .  If the applicable tax rates are zero enter 0."</f>
        <v>(ln 101) multiplied by (1/1-T) .  If the applicable tax rates are zero enter 0.</v>
      </c>
      <c r="H340" s="160"/>
      <c r="I340" s="160"/>
      <c r="J340" s="160"/>
      <c r="K340" s="160"/>
      <c r="L340" s="160"/>
      <c r="M340" s="160"/>
      <c r="N340" s="181"/>
      <c r="O340" s="181"/>
      <c r="P340" s="181"/>
      <c r="Q340" s="181"/>
      <c r="R340" s="181"/>
      <c r="S340" s="181"/>
      <c r="T340" s="181"/>
      <c r="U340" s="181"/>
    </row>
    <row r="341" spans="2:21">
      <c r="B341" s="411"/>
      <c r="C341" s="181"/>
      <c r="D341" s="205" t="s">
        <v>139</v>
      </c>
      <c r="E341" s="181" t="s">
        <v>140</v>
      </c>
      <c r="F341" s="148">
        <v>0.21</v>
      </c>
      <c r="G341" s="181"/>
      <c r="H341" s="160"/>
      <c r="I341" s="160"/>
      <c r="J341" s="160"/>
      <c r="K341" s="160"/>
      <c r="L341" s="160"/>
      <c r="M341" s="160"/>
      <c r="N341" s="181"/>
      <c r="O341" s="181"/>
      <c r="P341" s="181"/>
      <c r="Q341" s="181"/>
      <c r="R341" s="181"/>
      <c r="S341" s="181"/>
      <c r="T341" s="181"/>
      <c r="U341" s="181"/>
    </row>
    <row r="342" spans="2:21">
      <c r="B342" s="411"/>
      <c r="C342" s="181"/>
      <c r="D342" s="205"/>
      <c r="E342" s="181" t="s">
        <v>141</v>
      </c>
      <c r="F342" s="400">
        <f>+'WS G  State Tax Rate'!F29</f>
        <v>6.509899999999999E-2</v>
      </c>
      <c r="G342" s="181" t="s">
        <v>293</v>
      </c>
      <c r="H342" s="160"/>
      <c r="I342" s="160"/>
      <c r="J342" s="160"/>
      <c r="K342" s="160"/>
      <c r="L342" s="160"/>
      <c r="M342" s="160"/>
      <c r="N342" s="181"/>
      <c r="O342" s="181"/>
      <c r="P342" s="181"/>
      <c r="Q342" s="181"/>
      <c r="R342" s="181"/>
      <c r="S342" s="181"/>
      <c r="T342" s="181"/>
      <c r="U342" s="181"/>
    </row>
    <row r="343" spans="2:21">
      <c r="B343" s="411"/>
      <c r="C343" s="181"/>
      <c r="D343" s="205"/>
      <c r="E343" s="181" t="s">
        <v>142</v>
      </c>
      <c r="F343" s="148">
        <v>0</v>
      </c>
      <c r="G343" s="181" t="s">
        <v>143</v>
      </c>
      <c r="H343" s="160"/>
      <c r="I343" s="160"/>
      <c r="J343" s="160"/>
      <c r="K343" s="160"/>
      <c r="L343" s="160"/>
      <c r="M343" s="160"/>
      <c r="N343" s="181"/>
      <c r="O343" s="181"/>
      <c r="P343" s="181"/>
      <c r="Q343" s="181"/>
      <c r="R343" s="181"/>
      <c r="S343" s="181"/>
      <c r="T343" s="181"/>
      <c r="U343" s="181"/>
    </row>
    <row r="344" spans="2:21" ht="46.5" customHeight="1">
      <c r="B344" s="271"/>
      <c r="C344" s="194"/>
      <c r="D344" s="1452" t="s">
        <v>598</v>
      </c>
      <c r="E344" s="1452"/>
      <c r="F344" s="1452"/>
      <c r="G344" s="1452"/>
      <c r="H344" s="1452"/>
      <c r="I344" s="1452"/>
      <c r="J344" s="1452"/>
      <c r="K344" s="160"/>
      <c r="L344" s="160"/>
      <c r="M344" s="181"/>
      <c r="N344" s="181"/>
      <c r="O344" s="181"/>
      <c r="P344" s="181"/>
      <c r="Q344" s="181"/>
      <c r="R344" s="181"/>
      <c r="S344" s="181"/>
      <c r="T344" s="181"/>
      <c r="U344" s="181"/>
    </row>
    <row r="345" spans="2:21">
      <c r="B345" s="193" t="s">
        <v>144</v>
      </c>
      <c r="C345" s="194"/>
      <c r="D345" s="205" t="s">
        <v>541</v>
      </c>
      <c r="E345" s="160"/>
      <c r="F345" s="160"/>
      <c r="G345" s="160"/>
      <c r="H345" s="160"/>
      <c r="I345" s="160"/>
      <c r="J345" s="160"/>
      <c r="K345" s="160"/>
      <c r="L345" s="160"/>
      <c r="M345" s="160"/>
      <c r="N345" s="181"/>
      <c r="O345" s="181"/>
      <c r="P345" s="181"/>
      <c r="Q345" s="181"/>
      <c r="R345" s="181"/>
      <c r="S345" s="181"/>
      <c r="T345" s="181"/>
      <c r="U345" s="181"/>
    </row>
    <row r="346" spans="2:21">
      <c r="B346" s="155"/>
      <c r="D346" s="205"/>
      <c r="E346" s="160"/>
      <c r="F346" s="160"/>
      <c r="G346" s="160"/>
      <c r="H346" s="160"/>
      <c r="I346" s="160"/>
      <c r="J346" s="160"/>
      <c r="K346" s="160"/>
      <c r="L346" s="160"/>
      <c r="M346" s="160"/>
      <c r="N346" s="181"/>
      <c r="O346" s="181"/>
      <c r="P346" s="181"/>
      <c r="Q346" s="181"/>
      <c r="R346" s="181"/>
      <c r="S346" s="181"/>
      <c r="T346" s="181"/>
      <c r="U346" s="181"/>
    </row>
    <row r="347" spans="2:21">
      <c r="B347" s="193" t="s">
        <v>145</v>
      </c>
      <c r="C347" s="194"/>
      <c r="D347" s="205" t="s">
        <v>351</v>
      </c>
      <c r="E347" s="160"/>
      <c r="F347" s="160"/>
      <c r="G347" s="160"/>
      <c r="H347" s="160"/>
      <c r="I347" s="160"/>
      <c r="J347" s="160"/>
      <c r="K347" s="160"/>
      <c r="L347" s="160"/>
      <c r="M347" s="160"/>
      <c r="N347" s="181"/>
      <c r="O347" s="181"/>
      <c r="P347" s="181"/>
      <c r="Q347" s="181"/>
      <c r="R347" s="181"/>
      <c r="S347" s="181"/>
      <c r="T347" s="181"/>
      <c r="U347" s="181"/>
    </row>
    <row r="348" spans="2:21">
      <c r="B348" s="193"/>
      <c r="C348" s="194"/>
      <c r="D348" s="205"/>
      <c r="E348" s="181"/>
      <c r="F348" s="181"/>
      <c r="G348" s="181"/>
      <c r="H348" s="181"/>
      <c r="I348" s="181"/>
      <c r="J348" s="181"/>
      <c r="K348" s="181"/>
      <c r="L348" s="181"/>
      <c r="M348" s="181"/>
      <c r="N348" s="181"/>
      <c r="O348" s="181"/>
      <c r="P348" s="181"/>
      <c r="Q348" s="181"/>
      <c r="R348" s="181"/>
      <c r="S348" s="181"/>
      <c r="T348" s="181"/>
      <c r="U348" s="181"/>
    </row>
    <row r="349" spans="2:21">
      <c r="B349" s="193" t="s">
        <v>146</v>
      </c>
      <c r="C349" s="194"/>
      <c r="D349" s="205" t="s">
        <v>617</v>
      </c>
      <c r="E349" s="181"/>
      <c r="F349" s="181"/>
      <c r="G349" s="181"/>
      <c r="H349" s="181"/>
      <c r="I349" s="181"/>
      <c r="J349" s="181"/>
      <c r="K349" s="181"/>
      <c r="L349" s="181"/>
      <c r="M349" s="181"/>
      <c r="N349" s="181"/>
      <c r="O349" s="181"/>
      <c r="P349" s="181"/>
      <c r="Q349" s="181"/>
      <c r="R349" s="181"/>
      <c r="S349" s="181"/>
      <c r="T349" s="181"/>
      <c r="U349" s="181"/>
    </row>
    <row r="350" spans="2:21">
      <c r="B350" s="193"/>
      <c r="C350" s="194"/>
      <c r="D350" s="205"/>
      <c r="E350" s="181"/>
      <c r="F350" s="181"/>
      <c r="G350" s="181"/>
      <c r="H350" s="181"/>
      <c r="I350" s="181"/>
      <c r="J350" s="181"/>
      <c r="K350" s="181"/>
      <c r="L350" s="181"/>
      <c r="M350" s="181"/>
      <c r="N350" s="181"/>
      <c r="O350" s="181"/>
      <c r="P350" s="181"/>
      <c r="Q350" s="181"/>
      <c r="R350" s="181"/>
      <c r="S350" s="181"/>
      <c r="T350" s="181"/>
      <c r="U350" s="181"/>
    </row>
    <row r="351" spans="2:21" ht="15.75" customHeight="1">
      <c r="B351" s="412" t="s">
        <v>147</v>
      </c>
      <c r="C351" s="413"/>
      <c r="D351" s="1453" t="s">
        <v>962</v>
      </c>
      <c r="E351" s="1453"/>
      <c r="F351" s="1453"/>
      <c r="G351" s="1453"/>
      <c r="H351" s="1453"/>
      <c r="I351" s="1453"/>
      <c r="J351" s="1453"/>
      <c r="M351" s="173"/>
      <c r="N351" s="173"/>
      <c r="O351" s="181"/>
      <c r="P351" s="181"/>
      <c r="Q351" s="181"/>
      <c r="R351" s="181"/>
      <c r="S351" s="181"/>
      <c r="T351" s="181"/>
      <c r="U351" s="181"/>
    </row>
    <row r="352" spans="2:21" ht="15.75">
      <c r="B352" s="413"/>
      <c r="C352" s="413"/>
      <c r="D352" s="1453" t="s">
        <v>963</v>
      </c>
      <c r="E352" s="1453"/>
      <c r="F352" s="1453"/>
      <c r="G352" s="1453"/>
      <c r="H352" s="1453"/>
      <c r="I352" s="1453"/>
      <c r="J352" s="1453"/>
      <c r="M352" s="173"/>
      <c r="N352" s="173"/>
      <c r="O352" s="181"/>
      <c r="P352" s="181"/>
      <c r="Q352" s="181"/>
      <c r="R352" s="181"/>
      <c r="S352" s="181"/>
      <c r="T352" s="181"/>
      <c r="U352" s="181"/>
    </row>
    <row r="353" spans="2:21" ht="15.75">
      <c r="B353" s="413"/>
      <c r="C353" s="413"/>
      <c r="D353" s="1453"/>
      <c r="E353" s="1453"/>
      <c r="F353" s="1453"/>
      <c r="G353" s="1453"/>
      <c r="H353" s="1453"/>
      <c r="I353" s="1453"/>
      <c r="J353" s="1453"/>
      <c r="M353" s="173"/>
      <c r="N353" s="173"/>
      <c r="O353" s="181"/>
      <c r="P353" s="181"/>
      <c r="Q353" s="181"/>
      <c r="R353" s="181"/>
      <c r="S353" s="181"/>
      <c r="T353" s="181"/>
      <c r="U353" s="181"/>
    </row>
    <row r="354" spans="2:21" ht="95.25" customHeight="1">
      <c r="B354" s="413"/>
      <c r="C354" s="413"/>
      <c r="D354" s="1453"/>
      <c r="E354" s="1453"/>
      <c r="F354" s="1453"/>
      <c r="G354" s="1453"/>
      <c r="H354" s="1453"/>
      <c r="I354" s="1453"/>
      <c r="J354" s="1453"/>
      <c r="M354" s="173"/>
      <c r="N354" s="173"/>
      <c r="O354" s="181"/>
      <c r="P354" s="181"/>
      <c r="Q354" s="181"/>
      <c r="R354" s="181"/>
      <c r="S354" s="181"/>
      <c r="T354" s="181"/>
      <c r="U354" s="181"/>
    </row>
    <row r="355" spans="2:21" ht="0.75" hidden="1" customHeight="1">
      <c r="B355" s="413"/>
      <c r="C355" s="413"/>
      <c r="D355" s="1263"/>
      <c r="E355" s="1263"/>
      <c r="F355" s="1263"/>
      <c r="G355" s="1263"/>
      <c r="H355" s="1263"/>
      <c r="I355" s="1263"/>
      <c r="J355" s="1263"/>
      <c r="M355" s="173"/>
      <c r="N355" s="173"/>
      <c r="O355" s="181"/>
      <c r="P355" s="181"/>
      <c r="Q355" s="181"/>
      <c r="R355" s="181"/>
      <c r="S355" s="181"/>
      <c r="T355" s="181"/>
      <c r="U355" s="181"/>
    </row>
    <row r="356" spans="2:21" ht="54.75" hidden="1" customHeight="1">
      <c r="B356" s="413"/>
      <c r="C356" s="413"/>
      <c r="D356" s="1263"/>
      <c r="E356" s="1263"/>
      <c r="F356" s="1263"/>
      <c r="G356" s="1263"/>
      <c r="H356" s="1263"/>
      <c r="I356" s="1263"/>
      <c r="J356" s="1263"/>
      <c r="M356" s="173"/>
      <c r="N356" s="173"/>
      <c r="O356" s="181"/>
      <c r="P356" s="181"/>
      <c r="Q356" s="181"/>
      <c r="R356" s="181"/>
      <c r="S356" s="181"/>
      <c r="T356" s="181"/>
      <c r="U356" s="181"/>
    </row>
    <row r="357" spans="2:21" ht="16.5" customHeight="1">
      <c r="B357" s="413"/>
      <c r="C357" s="413"/>
      <c r="D357" s="1263"/>
      <c r="E357" s="1263"/>
      <c r="F357" s="1263"/>
      <c r="G357" s="1263"/>
      <c r="H357" s="1263"/>
      <c r="I357" s="1263"/>
      <c r="J357" s="1263"/>
      <c r="M357" s="173"/>
      <c r="N357" s="173"/>
      <c r="O357" s="181"/>
      <c r="P357" s="181"/>
      <c r="Q357" s="181"/>
      <c r="R357" s="181"/>
      <c r="S357" s="181"/>
      <c r="T357" s="181"/>
      <c r="U357" s="181"/>
    </row>
    <row r="358" spans="2:21" ht="98.25" customHeight="1">
      <c r="B358" s="193" t="s">
        <v>193</v>
      </c>
      <c r="C358" s="413"/>
      <c r="D358" s="1440" t="s">
        <v>763</v>
      </c>
      <c r="E358" s="1441"/>
      <c r="F358" s="1441"/>
      <c r="G358" s="1441"/>
      <c r="H358" s="1441"/>
      <c r="I358" s="1441"/>
      <c r="J358" s="1441"/>
      <c r="M358" s="181"/>
      <c r="N358" s="181"/>
      <c r="O358" s="181"/>
      <c r="P358" s="181"/>
      <c r="Q358" s="181"/>
      <c r="R358" s="181"/>
      <c r="S358" s="181"/>
      <c r="T358" s="181"/>
      <c r="U358" s="181"/>
    </row>
    <row r="359" spans="2:21" ht="15.75">
      <c r="B359" s="193"/>
      <c r="C359" s="413"/>
      <c r="D359" s="414"/>
      <c r="E359" s="415"/>
      <c r="F359" s="415"/>
      <c r="G359" s="415"/>
      <c r="H359" s="415"/>
      <c r="I359" s="415"/>
      <c r="J359" s="415"/>
      <c r="M359" s="181"/>
      <c r="N359" s="181"/>
      <c r="O359" s="181"/>
      <c r="P359" s="181"/>
      <c r="Q359" s="181"/>
      <c r="R359" s="181"/>
      <c r="S359" s="181"/>
      <c r="T359" s="181"/>
      <c r="U359" s="181"/>
    </row>
    <row r="360" spans="2:21">
      <c r="B360" s="193" t="s">
        <v>553</v>
      </c>
      <c r="C360" s="416"/>
      <c r="D360" s="1439" t="s">
        <v>599</v>
      </c>
      <c r="E360" s="1439"/>
      <c r="F360" s="1439"/>
      <c r="G360" s="1439"/>
      <c r="H360" s="1439"/>
      <c r="I360" s="1439"/>
      <c r="J360" s="1439"/>
      <c r="K360" s="417"/>
      <c r="M360" s="181"/>
      <c r="N360" s="181"/>
      <c r="O360" s="181"/>
      <c r="P360" s="181"/>
      <c r="Q360" s="181"/>
      <c r="R360" s="181"/>
      <c r="S360" s="181"/>
      <c r="T360" s="181"/>
      <c r="U360" s="181"/>
    </row>
    <row r="361" spans="2:21">
      <c r="B361" s="193"/>
      <c r="C361" s="194"/>
      <c r="D361" s="155" t="s">
        <v>408</v>
      </c>
      <c r="M361" s="181"/>
      <c r="N361" s="181"/>
      <c r="O361" s="181"/>
      <c r="P361" s="181"/>
      <c r="Q361" s="181"/>
      <c r="R361" s="181"/>
      <c r="S361" s="181"/>
      <c r="T361" s="181"/>
      <c r="U361" s="181"/>
    </row>
    <row r="362" spans="2:21">
      <c r="B362" s="193" t="s">
        <v>600</v>
      </c>
      <c r="C362" s="194"/>
      <c r="D362" s="155" t="s">
        <v>601</v>
      </c>
      <c r="M362" s="181"/>
      <c r="N362" s="181"/>
      <c r="O362" s="181"/>
      <c r="P362" s="181"/>
      <c r="Q362" s="181"/>
      <c r="R362" s="181"/>
      <c r="S362" s="181"/>
      <c r="T362" s="181"/>
      <c r="U362" s="181"/>
    </row>
    <row r="363" spans="2:21">
      <c r="B363" s="193"/>
      <c r="C363" s="194"/>
      <c r="M363" s="181"/>
      <c r="N363" s="181"/>
      <c r="O363" s="181"/>
      <c r="P363" s="181"/>
      <c r="Q363" s="181"/>
      <c r="R363" s="181"/>
      <c r="S363" s="181"/>
      <c r="T363" s="181"/>
      <c r="U363" s="181"/>
    </row>
    <row r="364" spans="2:21" ht="30" customHeight="1">
      <c r="B364" s="193" t="s">
        <v>602</v>
      </c>
      <c r="C364" s="194"/>
      <c r="D364" s="1439" t="s">
        <v>603</v>
      </c>
      <c r="E364" s="1439"/>
      <c r="F364" s="1439"/>
      <c r="G364" s="1439"/>
      <c r="H364" s="1439"/>
      <c r="I364" s="1439"/>
      <c r="J364" s="1439"/>
      <c r="K364" s="1439"/>
      <c r="M364" s="181"/>
      <c r="N364" s="181"/>
      <c r="O364" s="181"/>
      <c r="P364" s="181"/>
      <c r="Q364" s="181"/>
      <c r="R364" s="181"/>
      <c r="S364" s="181"/>
      <c r="T364" s="181"/>
      <c r="U364" s="181"/>
    </row>
    <row r="365" spans="2:21">
      <c r="B365" s="173"/>
      <c r="C365" s="173"/>
      <c r="D365" s="173"/>
      <c r="E365" s="173"/>
      <c r="F365" s="173"/>
      <c r="G365" s="173"/>
      <c r="H365" s="173"/>
      <c r="M365" s="181"/>
      <c r="N365" s="181"/>
      <c r="O365" s="181"/>
      <c r="P365" s="181"/>
      <c r="Q365" s="181"/>
      <c r="R365" s="181"/>
      <c r="S365" s="181"/>
      <c r="T365" s="181"/>
      <c r="U365" s="181"/>
    </row>
    <row r="366" spans="2:21" ht="46.5" customHeight="1">
      <c r="B366" s="273" t="s">
        <v>604</v>
      </c>
      <c r="C366" s="173"/>
      <c r="D366" s="1439" t="s">
        <v>608</v>
      </c>
      <c r="E366" s="1439"/>
      <c r="F366" s="1439"/>
      <c r="G366" s="1439"/>
      <c r="H366" s="1439"/>
      <c r="I366" s="1439"/>
      <c r="J366" s="1439"/>
      <c r="K366" s="1439"/>
      <c r="M366" s="181"/>
      <c r="N366" s="181"/>
      <c r="O366" s="181"/>
      <c r="P366" s="181"/>
      <c r="Q366" s="181"/>
      <c r="R366" s="181"/>
      <c r="S366" s="181"/>
      <c r="T366" s="181"/>
      <c r="U366" s="181"/>
    </row>
    <row r="367" spans="2:21">
      <c r="B367" s="1231" t="s">
        <v>638</v>
      </c>
      <c r="C367" s="1232"/>
      <c r="D367" s="1233" t="s">
        <v>639</v>
      </c>
      <c r="E367" s="1234"/>
      <c r="F367" s="1234"/>
      <c r="G367" s="1234"/>
      <c r="H367" s="1021"/>
      <c r="M367" s="181"/>
      <c r="N367" s="181"/>
      <c r="O367" s="181"/>
      <c r="P367" s="181"/>
      <c r="Q367" s="181"/>
      <c r="R367" s="181"/>
      <c r="S367" s="181"/>
      <c r="T367" s="181"/>
      <c r="U367" s="181"/>
    </row>
    <row r="368" spans="2:21">
      <c r="B368" s="1313" t="s">
        <v>809</v>
      </c>
      <c r="C368" s="392"/>
      <c r="D368" s="1438" t="s">
        <v>810</v>
      </c>
      <c r="E368" s="1438"/>
      <c r="F368" s="1438"/>
      <c r="G368" s="1438"/>
      <c r="H368" s="1438"/>
      <c r="I368" s="1438"/>
      <c r="J368" s="1438"/>
      <c r="K368" s="1438"/>
      <c r="M368" s="181"/>
      <c r="N368" s="181"/>
      <c r="O368" s="181"/>
      <c r="P368" s="181"/>
      <c r="Q368" s="181"/>
      <c r="R368" s="181"/>
      <c r="S368" s="181"/>
      <c r="T368" s="181"/>
      <c r="U368" s="181"/>
    </row>
    <row r="369" spans="2:21">
      <c r="B369" s="392"/>
      <c r="C369" s="392"/>
      <c r="D369" s="1438"/>
      <c r="E369" s="1438"/>
      <c r="F369" s="1438"/>
      <c r="G369" s="1438"/>
      <c r="H369" s="1438"/>
      <c r="I369" s="1438"/>
      <c r="J369" s="1438"/>
      <c r="K369" s="1438"/>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G250:H250"/>
    <mergeCell ref="G231:H231"/>
    <mergeCell ref="D282:K283"/>
    <mergeCell ref="D351:J351"/>
    <mergeCell ref="B21:I22"/>
    <mergeCell ref="I57:J57"/>
    <mergeCell ref="I60:J60"/>
    <mergeCell ref="I121:J121"/>
    <mergeCell ref="I124:J124"/>
    <mergeCell ref="D39:L39"/>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topLeftCell="A34" zoomScale="90" zoomScaleNormal="90" zoomScaleSheetLayoutView="70" workbookViewId="0">
      <selection activeCell="A4" sqref="A4:G4"/>
    </sheetView>
  </sheetViews>
  <sheetFormatPr defaultColWidth="11.42578125" defaultRowHeight="12.75"/>
  <cols>
    <col min="1" max="1" width="10.28515625" style="1120" customWidth="1"/>
    <col min="2" max="2" width="57.42578125" style="1074" customWidth="1"/>
    <col min="3" max="3" width="26.7109375" style="1074" bestFit="1" customWidth="1"/>
    <col min="4" max="4" width="25" style="1074" customWidth="1"/>
    <col min="5" max="11" width="20.28515625" style="1074" customWidth="1"/>
    <col min="12" max="12" width="20" style="1074" customWidth="1"/>
    <col min="13" max="14" width="15.140625" style="1074" customWidth="1"/>
    <col min="15" max="16384" width="11.42578125" style="1074"/>
  </cols>
  <sheetData>
    <row r="1" spans="1:12" ht="15">
      <c r="A1" s="1464" t="str">
        <f>TCOS!F5</f>
        <v>AEPTCo subsidiaries in PJM</v>
      </c>
      <c r="B1" s="1464" t="s">
        <v>321</v>
      </c>
      <c r="C1" s="1464" t="s">
        <v>321</v>
      </c>
      <c r="D1" s="1464" t="s">
        <v>321</v>
      </c>
      <c r="E1" s="1464" t="s">
        <v>321</v>
      </c>
      <c r="F1" s="1464" t="s">
        <v>321</v>
      </c>
      <c r="G1" s="1464" t="s">
        <v>321</v>
      </c>
      <c r="H1" s="1073"/>
      <c r="I1" s="1073"/>
    </row>
    <row r="2" spans="1:12" ht="15">
      <c r="A2" s="1465" t="str">
        <f>"Cost of Service Formula Rate Using Actual/Projected FF1 Balances"</f>
        <v>Cost of Service Formula Rate Using Actual/Projected FF1 Balances</v>
      </c>
      <c r="B2" s="1465"/>
      <c r="C2" s="1465"/>
      <c r="D2" s="1465"/>
      <c r="E2" s="1465"/>
      <c r="F2" s="1465"/>
      <c r="G2" s="1465"/>
      <c r="H2" s="1073"/>
      <c r="I2" s="1073"/>
      <c r="J2" s="1073"/>
      <c r="L2" s="1075"/>
    </row>
    <row r="3" spans="1:12" ht="15">
      <c r="A3" s="1465" t="s">
        <v>698</v>
      </c>
      <c r="B3" s="1465"/>
      <c r="C3" s="1465"/>
      <c r="D3" s="1465"/>
      <c r="E3" s="1465"/>
      <c r="F3" s="1465"/>
      <c r="G3" s="1465"/>
      <c r="H3" s="1073"/>
      <c r="I3" s="1073"/>
      <c r="J3" s="1073"/>
    </row>
    <row r="4" spans="1:12" ht="15">
      <c r="A4" s="1471" t="str">
        <f>TCOS!F9</f>
        <v>AEP Appalachian Transmission Company</v>
      </c>
      <c r="B4" s="1471"/>
      <c r="C4" s="1471"/>
      <c r="D4" s="1471"/>
      <c r="E4" s="1471"/>
      <c r="F4" s="1471"/>
      <c r="G4" s="1471"/>
      <c r="H4" s="1073"/>
      <c r="I4" s="1073"/>
      <c r="J4" s="1073"/>
    </row>
    <row r="5" spans="1:12">
      <c r="A5" s="1073"/>
      <c r="B5" s="1076"/>
      <c r="C5" s="1076"/>
      <c r="D5" s="1076"/>
      <c r="E5" s="1077"/>
      <c r="F5" s="1078"/>
      <c r="H5" s="1078"/>
      <c r="J5" s="1078"/>
      <c r="L5" s="1078"/>
    </row>
    <row r="6" spans="1:12" ht="12.75" customHeight="1">
      <c r="A6" s="1073"/>
      <c r="B6" s="1076"/>
      <c r="C6" s="1466" t="s">
        <v>699</v>
      </c>
      <c r="D6" s="1467"/>
      <c r="E6" s="1467"/>
      <c r="F6" s="1467"/>
      <c r="G6" s="1468"/>
      <c r="H6" s="1079"/>
      <c r="I6" s="1079"/>
      <c r="J6" s="1079"/>
      <c r="K6" s="1079"/>
      <c r="L6" s="4"/>
    </row>
    <row r="7" spans="1:12" s="1084" customFormat="1" ht="25.5">
      <c r="A7" s="1080" t="s">
        <v>700</v>
      </c>
      <c r="B7" s="1081" t="s">
        <v>701</v>
      </c>
      <c r="C7" s="1082" t="s">
        <v>409</v>
      </c>
      <c r="D7" s="1082" t="s">
        <v>702</v>
      </c>
      <c r="E7" s="1082" t="s">
        <v>128</v>
      </c>
      <c r="F7" s="1082" t="s">
        <v>703</v>
      </c>
      <c r="G7" s="1081" t="s">
        <v>704</v>
      </c>
      <c r="H7" s="7"/>
      <c r="I7" s="1083"/>
      <c r="J7" s="1083"/>
      <c r="K7" s="1083"/>
      <c r="L7" s="4"/>
    </row>
    <row r="8" spans="1:12" s="1089" customFormat="1">
      <c r="A8" s="1085"/>
      <c r="B8" s="1086" t="s">
        <v>705</v>
      </c>
      <c r="C8" s="1087" t="s">
        <v>706</v>
      </c>
      <c r="D8" s="1087" t="s">
        <v>707</v>
      </c>
      <c r="E8" s="1087" t="s">
        <v>708</v>
      </c>
      <c r="F8" s="1087" t="s">
        <v>709</v>
      </c>
      <c r="G8" s="1088" t="s">
        <v>710</v>
      </c>
      <c r="H8"/>
      <c r="L8" s="4"/>
    </row>
    <row r="9" spans="1:12" s="1089" customFormat="1" ht="44.25" customHeight="1">
      <c r="A9" s="1085"/>
      <c r="B9" s="1086" t="s">
        <v>711</v>
      </c>
      <c r="C9" s="1090" t="s">
        <v>223</v>
      </c>
      <c r="D9" s="1090" t="s">
        <v>224</v>
      </c>
      <c r="E9" s="1090" t="s">
        <v>225</v>
      </c>
      <c r="F9" s="1090" t="s">
        <v>226</v>
      </c>
      <c r="G9" s="1091" t="s">
        <v>227</v>
      </c>
      <c r="H9"/>
      <c r="L9" s="4"/>
    </row>
    <row r="10" spans="1:12">
      <c r="A10" s="1085">
        <v>1</v>
      </c>
      <c r="B10" s="1092" t="s">
        <v>712</v>
      </c>
      <c r="C10" s="1169">
        <v>120299242.93999997</v>
      </c>
      <c r="D10" s="1169">
        <v>0</v>
      </c>
      <c r="E10" s="1169">
        <v>595713.91</v>
      </c>
      <c r="F10" s="1169">
        <v>0</v>
      </c>
      <c r="G10" s="1431">
        <v>1366596.45</v>
      </c>
      <c r="H10"/>
      <c r="L10" s="4"/>
    </row>
    <row r="11" spans="1:12">
      <c r="A11" s="1085">
        <f>+A10+1</f>
        <v>2</v>
      </c>
      <c r="B11" s="1092" t="s">
        <v>568</v>
      </c>
      <c r="C11" s="1169">
        <v>120945157.25999999</v>
      </c>
      <c r="D11" s="1169">
        <v>0</v>
      </c>
      <c r="E11" s="1169">
        <v>607444.91</v>
      </c>
      <c r="F11" s="1169">
        <v>0</v>
      </c>
      <c r="G11" s="1432">
        <v>1377587.99</v>
      </c>
      <c r="H11"/>
      <c r="L11" s="4"/>
    </row>
    <row r="12" spans="1:12">
      <c r="A12" s="1085">
        <f t="shared" ref="A12:A23" si="0">+A11+1</f>
        <v>3</v>
      </c>
      <c r="B12" s="1093" t="s">
        <v>569</v>
      </c>
      <c r="C12" s="1169">
        <v>121965301.77999996</v>
      </c>
      <c r="D12" s="1169">
        <v>0</v>
      </c>
      <c r="E12" s="1169">
        <v>609089</v>
      </c>
      <c r="F12" s="1169">
        <v>0</v>
      </c>
      <c r="G12" s="1432">
        <v>1391858.0100000002</v>
      </c>
      <c r="H12"/>
      <c r="L12" s="4"/>
    </row>
    <row r="13" spans="1:12">
      <c r="A13" s="1085">
        <f t="shared" si="0"/>
        <v>4</v>
      </c>
      <c r="B13" s="1093" t="s">
        <v>713</v>
      </c>
      <c r="C13" s="1169">
        <v>122144638.80999996</v>
      </c>
      <c r="D13" s="1169">
        <v>0</v>
      </c>
      <c r="E13" s="1169">
        <v>638036.27</v>
      </c>
      <c r="F13" s="1169">
        <v>0</v>
      </c>
      <c r="G13" s="1432">
        <v>1355361.24</v>
      </c>
      <c r="H13"/>
      <c r="L13" s="4"/>
    </row>
    <row r="14" spans="1:12">
      <c r="A14" s="1085">
        <f t="shared" si="0"/>
        <v>5</v>
      </c>
      <c r="B14" s="1093" t="s">
        <v>571</v>
      </c>
      <c r="C14" s="1169">
        <v>122308598.64</v>
      </c>
      <c r="D14" s="1169">
        <v>0</v>
      </c>
      <c r="E14" s="1169">
        <v>643740.61</v>
      </c>
      <c r="F14" s="1169">
        <v>0</v>
      </c>
      <c r="G14" s="1432">
        <v>1365750.48</v>
      </c>
      <c r="H14"/>
      <c r="L14" s="4"/>
    </row>
    <row r="15" spans="1:12">
      <c r="A15" s="1085">
        <f t="shared" si="0"/>
        <v>6</v>
      </c>
      <c r="B15" s="1093" t="s">
        <v>572</v>
      </c>
      <c r="C15" s="1169">
        <v>122358731.31999998</v>
      </c>
      <c r="D15" s="1169">
        <v>0</v>
      </c>
      <c r="E15" s="1169">
        <v>649395.34</v>
      </c>
      <c r="F15" s="1169">
        <v>0</v>
      </c>
      <c r="G15" s="1432">
        <v>1380459.3599999999</v>
      </c>
      <c r="H15"/>
      <c r="L15" s="4"/>
    </row>
    <row r="16" spans="1:12">
      <c r="A16" s="1085">
        <f t="shared" si="0"/>
        <v>7</v>
      </c>
      <c r="B16" s="1093" t="s">
        <v>573</v>
      </c>
      <c r="C16" s="1169">
        <v>122373476.62999997</v>
      </c>
      <c r="D16" s="1169">
        <v>0</v>
      </c>
      <c r="E16" s="1169">
        <v>651230</v>
      </c>
      <c r="F16" s="1169">
        <v>0</v>
      </c>
      <c r="G16" s="1432">
        <v>1357763.58</v>
      </c>
      <c r="H16"/>
      <c r="L16" s="4"/>
    </row>
    <row r="17" spans="1:12">
      <c r="A17" s="1085">
        <f t="shared" si="0"/>
        <v>8</v>
      </c>
      <c r="B17" s="1093" t="s">
        <v>574</v>
      </c>
      <c r="C17" s="1169">
        <v>131138131.19999996</v>
      </c>
      <c r="D17" s="1169">
        <v>0</v>
      </c>
      <c r="E17" s="1169">
        <v>699860.88</v>
      </c>
      <c r="F17" s="1169">
        <v>0</v>
      </c>
      <c r="G17" s="1432">
        <v>1369655.1800000002</v>
      </c>
      <c r="H17"/>
      <c r="L17" s="4"/>
    </row>
    <row r="18" spans="1:12">
      <c r="A18" s="1085">
        <f t="shared" si="0"/>
        <v>9</v>
      </c>
      <c r="B18" s="1093" t="s">
        <v>714</v>
      </c>
      <c r="C18" s="1169">
        <v>131227604.23999999</v>
      </c>
      <c r="D18" s="1169">
        <v>0</v>
      </c>
      <c r="E18" s="1169">
        <v>746858.5</v>
      </c>
      <c r="F18" s="1169">
        <v>0</v>
      </c>
      <c r="G18" s="1432">
        <v>1378435.58</v>
      </c>
      <c r="H18"/>
      <c r="L18" s="4"/>
    </row>
    <row r="19" spans="1:12">
      <c r="A19" s="1085">
        <f t="shared" si="0"/>
        <v>10</v>
      </c>
      <c r="B19" s="1093" t="s">
        <v>576</v>
      </c>
      <c r="C19" s="1169">
        <v>131228693.86</v>
      </c>
      <c r="D19" s="1169">
        <v>0</v>
      </c>
      <c r="E19" s="1169">
        <v>746850</v>
      </c>
      <c r="F19" s="1169">
        <v>0</v>
      </c>
      <c r="G19" s="1432">
        <v>1356948.8199999998</v>
      </c>
      <c r="H19"/>
      <c r="L19" s="4"/>
    </row>
    <row r="20" spans="1:12">
      <c r="A20" s="1085">
        <f t="shared" si="0"/>
        <v>11</v>
      </c>
      <c r="B20" s="1093" t="s">
        <v>577</v>
      </c>
      <c r="C20" s="1169">
        <v>131273986.21999998</v>
      </c>
      <c r="D20" s="1169">
        <v>0</v>
      </c>
      <c r="E20" s="1169">
        <v>747027.80999999994</v>
      </c>
      <c r="F20" s="1169">
        <v>0</v>
      </c>
      <c r="G20" s="1432">
        <v>1372276.4499999997</v>
      </c>
      <c r="H20"/>
      <c r="L20" s="4"/>
    </row>
    <row r="21" spans="1:12">
      <c r="A21" s="1085">
        <f t="shared" si="0"/>
        <v>12</v>
      </c>
      <c r="B21" s="1093" t="s">
        <v>578</v>
      </c>
      <c r="C21" s="1169">
        <v>140974049.48000002</v>
      </c>
      <c r="D21" s="1169">
        <v>0</v>
      </c>
      <c r="E21" s="1169">
        <v>856471</v>
      </c>
      <c r="F21" s="1169">
        <v>0</v>
      </c>
      <c r="G21" s="1432">
        <v>1399419.1200000003</v>
      </c>
      <c r="H21"/>
      <c r="L21" s="4"/>
    </row>
    <row r="22" spans="1:12">
      <c r="A22" s="1094">
        <f t="shared" si="0"/>
        <v>13</v>
      </c>
      <c r="B22" s="1095" t="s">
        <v>715</v>
      </c>
      <c r="C22" s="1169">
        <v>151485969</v>
      </c>
      <c r="D22" s="1169">
        <v>0</v>
      </c>
      <c r="E22" s="1169">
        <v>1024401.8899999999</v>
      </c>
      <c r="F22" s="1169">
        <v>0</v>
      </c>
      <c r="G22" s="1433">
        <v>1352876.05</v>
      </c>
      <c r="H22"/>
      <c r="L22" s="4"/>
    </row>
    <row r="23" spans="1:12" ht="13.5" thickBot="1">
      <c r="A23" s="1094">
        <f t="shared" si="0"/>
        <v>14</v>
      </c>
      <c r="B23" s="1096" t="s">
        <v>716</v>
      </c>
      <c r="C23" s="1097">
        <f>SUM(C10:C22)/13</f>
        <v>128440275.49076921</v>
      </c>
      <c r="D23" s="1097">
        <f>SUM(D10:D22)/13</f>
        <v>0</v>
      </c>
      <c r="E23" s="1097">
        <f>SUM(E10:E22)/13</f>
        <v>708932.31692307687</v>
      </c>
      <c r="F23" s="1097">
        <f>SUM(F10:F22)/13</f>
        <v>0</v>
      </c>
      <c r="G23" s="1098">
        <f>SUM(G10:G22)/13</f>
        <v>1371152.9469230769</v>
      </c>
      <c r="H23"/>
      <c r="L23" s="4"/>
    </row>
    <row r="24" spans="1:12" ht="13.5" thickTop="1">
      <c r="A24" s="1073"/>
      <c r="B24" s="1099"/>
      <c r="C24" s="1100"/>
      <c r="D24" s="1101"/>
      <c r="E24" s="1101"/>
      <c r="F24" s="1101"/>
      <c r="G24" s="1100"/>
      <c r="H24" s="1100"/>
      <c r="I24" s="1100"/>
      <c r="J24" s="4"/>
      <c r="K24" s="4"/>
      <c r="L24" s="4"/>
    </row>
    <row r="25" spans="1:12" ht="12.75" customHeight="1">
      <c r="A25" s="1073"/>
      <c r="B25" s="1076"/>
      <c r="C25" s="1469" t="s">
        <v>717</v>
      </c>
      <c r="D25" s="1470"/>
      <c r="E25" s="1470"/>
      <c r="F25" s="1470"/>
      <c r="G25" s="1470"/>
      <c r="H25"/>
      <c r="I25"/>
      <c r="J25"/>
      <c r="K25"/>
      <c r="L25" s="4"/>
    </row>
    <row r="26" spans="1:12" s="1084" customFormat="1" ht="25.5">
      <c r="A26" s="1080" t="s">
        <v>700</v>
      </c>
      <c r="B26" s="1081" t="s">
        <v>701</v>
      </c>
      <c r="C26" s="1082" t="s">
        <v>409</v>
      </c>
      <c r="D26" s="1082" t="s">
        <v>702</v>
      </c>
      <c r="E26" s="1082" t="s">
        <v>128</v>
      </c>
      <c r="F26" s="1082" t="s">
        <v>703</v>
      </c>
      <c r="G26" s="1102" t="s">
        <v>704</v>
      </c>
      <c r="H26"/>
      <c r="I26"/>
      <c r="J26"/>
      <c r="K26"/>
      <c r="L26" s="4"/>
    </row>
    <row r="27" spans="1:12" s="1089" customFormat="1">
      <c r="A27" s="1085"/>
      <c r="B27" s="1086" t="s">
        <v>705</v>
      </c>
      <c r="C27" s="1087" t="s">
        <v>706</v>
      </c>
      <c r="D27" s="1087" t="s">
        <v>707</v>
      </c>
      <c r="E27" s="1087" t="s">
        <v>708</v>
      </c>
      <c r="F27" s="1087" t="s">
        <v>709</v>
      </c>
      <c r="G27" s="1088" t="s">
        <v>710</v>
      </c>
      <c r="H27"/>
      <c r="I27"/>
      <c r="J27"/>
      <c r="K27"/>
      <c r="L27" s="4"/>
    </row>
    <row r="28" spans="1:12" s="1089" customFormat="1" ht="44.25" customHeight="1">
      <c r="A28" s="1085"/>
      <c r="B28" s="1086" t="s">
        <v>711</v>
      </c>
      <c r="C28" s="1090" t="s">
        <v>172</v>
      </c>
      <c r="D28" s="1090" t="str">
        <f>"Company Records (Included in total in Column "&amp;C27&amp;")"</f>
        <v>Company Records (Included in total in Column (d))</v>
      </c>
      <c r="E28" s="1090" t="s">
        <v>8</v>
      </c>
      <c r="F28" s="1090" t="str">
        <f>"Company Records (Included in total in Column "&amp;E27&amp;")"</f>
        <v>Company Records (Included in total in Column (h))</v>
      </c>
      <c r="G28" s="1091" t="s">
        <v>294</v>
      </c>
      <c r="H28"/>
      <c r="I28"/>
      <c r="J28"/>
      <c r="K28"/>
      <c r="L28" s="4"/>
    </row>
    <row r="29" spans="1:12">
      <c r="A29" s="1085">
        <f>+A23+1</f>
        <v>15</v>
      </c>
      <c r="B29" s="1092" t="s">
        <v>712</v>
      </c>
      <c r="C29" s="1169">
        <v>9860966.5499999989</v>
      </c>
      <c r="D29" s="1169">
        <v>0</v>
      </c>
      <c r="E29" s="1169">
        <v>7650.02</v>
      </c>
      <c r="F29" s="1169">
        <v>0</v>
      </c>
      <c r="G29" s="1431">
        <v>624011.67999999993</v>
      </c>
      <c r="H29"/>
      <c r="I29"/>
      <c r="J29"/>
      <c r="K29"/>
      <c r="L29" s="4"/>
    </row>
    <row r="30" spans="1:12">
      <c r="A30" s="1085">
        <f>+A29+1</f>
        <v>16</v>
      </c>
      <c r="B30" s="1092" t="s">
        <v>568</v>
      </c>
      <c r="C30" s="1169">
        <v>10161630.18</v>
      </c>
      <c r="D30" s="1169">
        <v>0</v>
      </c>
      <c r="E30" s="1169">
        <v>10142.09</v>
      </c>
      <c r="F30" s="1169">
        <v>0</v>
      </c>
      <c r="G30" s="1432">
        <v>645917.99</v>
      </c>
      <c r="H30"/>
      <c r="I30"/>
      <c r="J30"/>
      <c r="K30"/>
      <c r="L30" s="4"/>
    </row>
    <row r="31" spans="1:12">
      <c r="A31" s="1085">
        <f t="shared" ref="A31:A42" si="1">+A30+1</f>
        <v>17</v>
      </c>
      <c r="B31" s="1093" t="s">
        <v>569</v>
      </c>
      <c r="C31" s="1169">
        <v>10384981.529999999</v>
      </c>
      <c r="D31" s="1169">
        <v>0</v>
      </c>
      <c r="E31" s="1169">
        <v>12683.23</v>
      </c>
      <c r="F31" s="1169">
        <v>0</v>
      </c>
      <c r="G31" s="1432">
        <v>668007.48</v>
      </c>
      <c r="H31"/>
      <c r="I31"/>
      <c r="J31"/>
      <c r="K31"/>
      <c r="L31" s="4"/>
    </row>
    <row r="32" spans="1:12">
      <c r="A32" s="1085">
        <f t="shared" si="1"/>
        <v>18</v>
      </c>
      <c r="B32" s="1093" t="s">
        <v>713</v>
      </c>
      <c r="C32" s="1169">
        <v>10694924.219999999</v>
      </c>
      <c r="D32" s="1169">
        <v>0</v>
      </c>
      <c r="E32" s="1169">
        <v>15231.25</v>
      </c>
      <c r="F32" s="1169">
        <v>0</v>
      </c>
      <c r="G32" s="1432">
        <v>642180.5</v>
      </c>
      <c r="H32"/>
      <c r="I32"/>
      <c r="J32"/>
      <c r="K32"/>
      <c r="L32" s="4"/>
    </row>
    <row r="33" spans="1:12">
      <c r="A33" s="1085">
        <f t="shared" si="1"/>
        <v>19</v>
      </c>
      <c r="B33" s="1093" t="s">
        <v>571</v>
      </c>
      <c r="C33" s="1169">
        <v>10921016.810000001</v>
      </c>
      <c r="D33" s="1169">
        <v>0</v>
      </c>
      <c r="E33" s="1169">
        <v>17900.37</v>
      </c>
      <c r="F33" s="1169">
        <v>0</v>
      </c>
      <c r="G33" s="1432">
        <v>663899.53999999992</v>
      </c>
      <c r="H33"/>
      <c r="I33"/>
      <c r="J33"/>
      <c r="K33"/>
      <c r="L33" s="4"/>
    </row>
    <row r="34" spans="1:12">
      <c r="A34" s="1085">
        <f t="shared" si="1"/>
        <v>20</v>
      </c>
      <c r="B34" s="1093" t="s">
        <v>572</v>
      </c>
      <c r="C34" s="1169">
        <v>11188477.279999999</v>
      </c>
      <c r="D34" s="1169">
        <v>0</v>
      </c>
      <c r="E34" s="1169">
        <v>20593.350000000002</v>
      </c>
      <c r="F34" s="1169">
        <v>0</v>
      </c>
      <c r="G34" s="1432">
        <v>685791.74</v>
      </c>
      <c r="H34"/>
      <c r="I34"/>
      <c r="J34"/>
      <c r="K34"/>
      <c r="L34" s="4"/>
    </row>
    <row r="35" spans="1:12">
      <c r="A35" s="1085">
        <f t="shared" si="1"/>
        <v>21</v>
      </c>
      <c r="B35" s="1093" t="s">
        <v>573</v>
      </c>
      <c r="C35" s="1169">
        <v>11455130.129999999</v>
      </c>
      <c r="D35" s="1169">
        <v>0</v>
      </c>
      <c r="E35" s="1169">
        <v>23309.99</v>
      </c>
      <c r="F35" s="1169">
        <v>0</v>
      </c>
      <c r="G35" s="1432">
        <v>674564.00999999989</v>
      </c>
      <c r="H35"/>
      <c r="I35"/>
      <c r="J35"/>
      <c r="K35"/>
      <c r="L35" s="4"/>
    </row>
    <row r="36" spans="1:12">
      <c r="A36" s="1085">
        <f t="shared" si="1"/>
        <v>22</v>
      </c>
      <c r="B36" s="1093" t="s">
        <v>574</v>
      </c>
      <c r="C36" s="1169">
        <v>11761678.08</v>
      </c>
      <c r="D36" s="1169">
        <v>0</v>
      </c>
      <c r="E36" s="1169">
        <v>26034.3</v>
      </c>
      <c r="F36" s="1169">
        <v>0</v>
      </c>
      <c r="G36" s="1432">
        <v>696323.1</v>
      </c>
      <c r="H36"/>
      <c r="I36"/>
      <c r="J36"/>
      <c r="K36"/>
      <c r="L36" s="4"/>
    </row>
    <row r="37" spans="1:12">
      <c r="A37" s="1085">
        <f t="shared" si="1"/>
        <v>23</v>
      </c>
      <c r="B37" s="1093" t="s">
        <v>714</v>
      </c>
      <c r="C37" s="1169">
        <v>12042961.360000001</v>
      </c>
      <c r="D37" s="1169">
        <v>0</v>
      </c>
      <c r="E37" s="1169">
        <v>28962.05</v>
      </c>
      <c r="F37" s="1169">
        <v>0</v>
      </c>
      <c r="G37" s="1432">
        <v>718280.38000000012</v>
      </c>
      <c r="H37"/>
      <c r="I37"/>
      <c r="J37"/>
      <c r="K37"/>
      <c r="L37" s="4"/>
    </row>
    <row r="38" spans="1:12">
      <c r="A38" s="1085">
        <f t="shared" si="1"/>
        <v>24</v>
      </c>
      <c r="B38" s="1093" t="s">
        <v>576</v>
      </c>
      <c r="C38" s="1169">
        <v>12328767.34</v>
      </c>
      <c r="D38" s="1169">
        <v>0</v>
      </c>
      <c r="E38" s="1169">
        <v>32086.41</v>
      </c>
      <c r="F38" s="1169">
        <v>0</v>
      </c>
      <c r="G38" s="1432">
        <v>703692.39</v>
      </c>
      <c r="H38"/>
      <c r="I38"/>
      <c r="J38"/>
      <c r="K38"/>
      <c r="L38" s="4"/>
    </row>
    <row r="39" spans="1:12">
      <c r="A39" s="1085">
        <f t="shared" si="1"/>
        <v>25</v>
      </c>
      <c r="B39" s="1093" t="s">
        <v>577</v>
      </c>
      <c r="C39" s="1169">
        <v>12614466.310000001</v>
      </c>
      <c r="D39" s="1169">
        <v>0</v>
      </c>
      <c r="E39" s="1169">
        <v>35210.74</v>
      </c>
      <c r="F39" s="1169">
        <v>0</v>
      </c>
      <c r="G39" s="1432">
        <v>725437.9</v>
      </c>
      <c r="H39"/>
      <c r="I39"/>
      <c r="J39"/>
      <c r="K39"/>
      <c r="L39" s="4"/>
    </row>
    <row r="40" spans="1:12">
      <c r="A40" s="1085">
        <f t="shared" si="1"/>
        <v>26</v>
      </c>
      <c r="B40" s="1093" t="s">
        <v>578</v>
      </c>
      <c r="C40" s="1169">
        <v>12901861.59</v>
      </c>
      <c r="D40" s="1169">
        <v>0</v>
      </c>
      <c r="E40" s="1169">
        <v>38335.81</v>
      </c>
      <c r="F40" s="1169">
        <v>0</v>
      </c>
      <c r="G40" s="1432">
        <v>747438.86</v>
      </c>
      <c r="H40"/>
      <c r="I40"/>
      <c r="J40"/>
      <c r="K40"/>
      <c r="L40" s="4"/>
    </row>
    <row r="41" spans="1:12">
      <c r="A41" s="1094">
        <f t="shared" si="1"/>
        <v>27</v>
      </c>
      <c r="B41" s="1095" t="s">
        <v>715</v>
      </c>
      <c r="C41" s="1169">
        <v>13209015.26</v>
      </c>
      <c r="D41" s="1169">
        <v>0</v>
      </c>
      <c r="E41" s="1169">
        <v>41918.720000000001</v>
      </c>
      <c r="F41" s="1169">
        <v>0</v>
      </c>
      <c r="G41" s="1433">
        <v>671129.82000000007</v>
      </c>
      <c r="H41"/>
      <c r="I41"/>
      <c r="J41"/>
      <c r="K41"/>
      <c r="L41" s="4"/>
    </row>
    <row r="42" spans="1:12" ht="13.5" thickBot="1">
      <c r="A42" s="1103">
        <f t="shared" si="1"/>
        <v>28</v>
      </c>
      <c r="B42" s="1104" t="s">
        <v>716</v>
      </c>
      <c r="C42" s="1097">
        <f>SUM(C29:C41)/13</f>
        <v>11501990.510769229</v>
      </c>
      <c r="D42" s="1097">
        <f>SUM(D29:D41)/13</f>
        <v>0</v>
      </c>
      <c r="E42" s="1097">
        <f>SUM(E29:E41)/13</f>
        <v>23850.640769230766</v>
      </c>
      <c r="F42" s="1097">
        <f>SUM(F29:F41)/13</f>
        <v>0</v>
      </c>
      <c r="G42" s="1098">
        <f>SUM(G29:G41)/13</f>
        <v>682051.95307692303</v>
      </c>
      <c r="H42"/>
      <c r="I42"/>
      <c r="J42"/>
      <c r="K42"/>
      <c r="L42" s="4"/>
    </row>
    <row r="43" spans="1:12" ht="13.5" thickTop="1">
      <c r="A43" s="1073"/>
      <c r="B43" s="1099"/>
      <c r="C43" s="1100"/>
      <c r="D43" s="1101"/>
      <c r="E43" s="1101"/>
      <c r="F43" s="1101"/>
      <c r="G43" s="1100"/>
      <c r="H43"/>
      <c r="I43"/>
      <c r="J43"/>
      <c r="K43"/>
      <c r="L43" s="4"/>
    </row>
    <row r="44" spans="1:12">
      <c r="A44" s="1073"/>
      <c r="B44" s="1099"/>
      <c r="C44" s="1100"/>
      <c r="D44" s="1101"/>
      <c r="E44" s="1101"/>
      <c r="F44" s="1101"/>
      <c r="G44" s="1100"/>
      <c r="H44" s="1100"/>
      <c r="I44" s="1100"/>
    </row>
    <row r="45" spans="1:12">
      <c r="A45" s="1105"/>
      <c r="B45" s="1106"/>
      <c r="C45" s="1107"/>
      <c r="D45" s="1108"/>
      <c r="E45" s="1108"/>
      <c r="F45" s="1151"/>
    </row>
    <row r="46" spans="1:12" ht="72" customHeight="1">
      <c r="A46" s="1109" t="s">
        <v>700</v>
      </c>
      <c r="B46" s="1087" t="s">
        <v>701</v>
      </c>
      <c r="C46" s="1110" t="s">
        <v>719</v>
      </c>
      <c r="D46" s="1082" t="s">
        <v>720</v>
      </c>
      <c r="E46" s="1082" t="s">
        <v>721</v>
      </c>
      <c r="F46" s="1102" t="s">
        <v>722</v>
      </c>
    </row>
    <row r="47" spans="1:12" s="1089" customFormat="1">
      <c r="A47" s="1085"/>
      <c r="B47" s="1087" t="s">
        <v>705</v>
      </c>
      <c r="C47" s="1111" t="s">
        <v>723</v>
      </c>
      <c r="D47" s="1087" t="s">
        <v>724</v>
      </c>
      <c r="E47" s="1087" t="s">
        <v>706</v>
      </c>
      <c r="F47" s="1086" t="s">
        <v>707</v>
      </c>
    </row>
    <row r="48" spans="1:12" s="1089" customFormat="1" ht="51">
      <c r="A48" s="1085"/>
      <c r="B48" s="1087" t="s">
        <v>711</v>
      </c>
      <c r="C48" s="1112" t="str">
        <f>"Company Records (included in total in column "&amp;C8&amp;" of gross plant above)"</f>
        <v>Company Records (included in total in column (d) of gross plant above)</v>
      </c>
      <c r="D48" s="1112" t="str">
        <f>"Company Records (included in total in column "&amp;C27&amp;" of accumulated depreciation above)"</f>
        <v>Company Records (included in total in column (d) of accumulated depreciation above)</v>
      </c>
      <c r="E48" s="1113" t="s">
        <v>718</v>
      </c>
      <c r="F48" s="1152" t="s">
        <v>718</v>
      </c>
    </row>
    <row r="49" spans="1:11">
      <c r="A49" s="1085">
        <f>+A42+1</f>
        <v>29</v>
      </c>
      <c r="B49" s="1114" t="s">
        <v>712</v>
      </c>
      <c r="C49" s="1169">
        <v>0</v>
      </c>
      <c r="D49" s="1169">
        <v>0</v>
      </c>
      <c r="E49" s="1169">
        <v>0</v>
      </c>
      <c r="F49" s="1431">
        <v>0</v>
      </c>
    </row>
    <row r="50" spans="1:11">
      <c r="A50" s="1085">
        <f>+A49+1</f>
        <v>30</v>
      </c>
      <c r="B50" s="1114" t="s">
        <v>568</v>
      </c>
      <c r="C50" s="1169">
        <v>0</v>
      </c>
      <c r="D50" s="1169">
        <v>0</v>
      </c>
      <c r="E50" s="1169">
        <v>0</v>
      </c>
      <c r="F50" s="1432">
        <v>0</v>
      </c>
    </row>
    <row r="51" spans="1:11">
      <c r="A51" s="1085">
        <f t="shared" ref="A51:A62" si="2">+A50+1</f>
        <v>31</v>
      </c>
      <c r="B51" s="1115" t="s">
        <v>569</v>
      </c>
      <c r="C51" s="1169">
        <v>0</v>
      </c>
      <c r="D51" s="1169">
        <v>0</v>
      </c>
      <c r="E51" s="1169">
        <v>0</v>
      </c>
      <c r="F51" s="1432">
        <v>0</v>
      </c>
    </row>
    <row r="52" spans="1:11">
      <c r="A52" s="1085">
        <f t="shared" si="2"/>
        <v>32</v>
      </c>
      <c r="B52" s="1115" t="s">
        <v>713</v>
      </c>
      <c r="C52" s="1169">
        <v>0</v>
      </c>
      <c r="D52" s="1169">
        <v>0</v>
      </c>
      <c r="E52" s="1169">
        <v>0</v>
      </c>
      <c r="F52" s="1432">
        <v>0</v>
      </c>
    </row>
    <row r="53" spans="1:11">
      <c r="A53" s="1085">
        <f t="shared" si="2"/>
        <v>33</v>
      </c>
      <c r="B53" s="1115" t="s">
        <v>571</v>
      </c>
      <c r="C53" s="1169">
        <v>0</v>
      </c>
      <c r="D53" s="1169">
        <v>0</v>
      </c>
      <c r="E53" s="1169">
        <v>0</v>
      </c>
      <c r="F53" s="1432">
        <v>0</v>
      </c>
    </row>
    <row r="54" spans="1:11">
      <c r="A54" s="1085">
        <f t="shared" si="2"/>
        <v>34</v>
      </c>
      <c r="B54" s="1115" t="s">
        <v>572</v>
      </c>
      <c r="C54" s="1169">
        <v>0</v>
      </c>
      <c r="D54" s="1169">
        <v>0</v>
      </c>
      <c r="E54" s="1169">
        <v>0</v>
      </c>
      <c r="F54" s="1432">
        <v>0</v>
      </c>
    </row>
    <row r="55" spans="1:11">
      <c r="A55" s="1085">
        <f t="shared" si="2"/>
        <v>35</v>
      </c>
      <c r="B55" s="1115" t="s">
        <v>573</v>
      </c>
      <c r="C55" s="1169">
        <v>0</v>
      </c>
      <c r="D55" s="1169">
        <v>0</v>
      </c>
      <c r="E55" s="1169">
        <v>0</v>
      </c>
      <c r="F55" s="1432">
        <v>0</v>
      </c>
    </row>
    <row r="56" spans="1:11">
      <c r="A56" s="1085">
        <f t="shared" si="2"/>
        <v>36</v>
      </c>
      <c r="B56" s="1115" t="s">
        <v>574</v>
      </c>
      <c r="C56" s="1169">
        <v>0</v>
      </c>
      <c r="D56" s="1169">
        <v>0</v>
      </c>
      <c r="E56" s="1169">
        <v>0</v>
      </c>
      <c r="F56" s="1432">
        <v>0</v>
      </c>
    </row>
    <row r="57" spans="1:11">
      <c r="A57" s="1085">
        <f t="shared" si="2"/>
        <v>37</v>
      </c>
      <c r="B57" s="1115" t="s">
        <v>714</v>
      </c>
      <c r="C57" s="1169">
        <v>0</v>
      </c>
      <c r="D57" s="1169">
        <v>0</v>
      </c>
      <c r="E57" s="1169">
        <v>0</v>
      </c>
      <c r="F57" s="1432">
        <v>0</v>
      </c>
    </row>
    <row r="58" spans="1:11">
      <c r="A58" s="1085">
        <f t="shared" si="2"/>
        <v>38</v>
      </c>
      <c r="B58" s="1115" t="s">
        <v>576</v>
      </c>
      <c r="C58" s="1169">
        <v>0</v>
      </c>
      <c r="D58" s="1169">
        <v>0</v>
      </c>
      <c r="E58" s="1169">
        <v>0</v>
      </c>
      <c r="F58" s="1432">
        <v>0</v>
      </c>
    </row>
    <row r="59" spans="1:11">
      <c r="A59" s="1085">
        <f t="shared" si="2"/>
        <v>39</v>
      </c>
      <c r="B59" s="1115" t="s">
        <v>577</v>
      </c>
      <c r="C59" s="1169">
        <v>0</v>
      </c>
      <c r="D59" s="1169">
        <v>0</v>
      </c>
      <c r="E59" s="1169">
        <v>0</v>
      </c>
      <c r="F59" s="1432">
        <v>0</v>
      </c>
    </row>
    <row r="60" spans="1:11">
      <c r="A60" s="1085">
        <f t="shared" si="2"/>
        <v>40</v>
      </c>
      <c r="B60" s="1115" t="s">
        <v>578</v>
      </c>
      <c r="C60" s="1169">
        <v>0</v>
      </c>
      <c r="D60" s="1169">
        <v>0</v>
      </c>
      <c r="E60" s="1169">
        <v>0</v>
      </c>
      <c r="F60" s="1432">
        <v>0</v>
      </c>
    </row>
    <row r="61" spans="1:11">
      <c r="A61" s="1094">
        <f t="shared" si="2"/>
        <v>41</v>
      </c>
      <c r="B61" s="1116" t="s">
        <v>715</v>
      </c>
      <c r="C61" s="1169">
        <v>0</v>
      </c>
      <c r="D61" s="1169">
        <v>0</v>
      </c>
      <c r="E61" s="1169">
        <v>0</v>
      </c>
      <c r="F61" s="1433">
        <v>0</v>
      </c>
    </row>
    <row r="62" spans="1:11" ht="13.5" thickBot="1">
      <c r="A62" s="1117">
        <f t="shared" si="2"/>
        <v>42</v>
      </c>
      <c r="B62" s="1104" t="s">
        <v>716</v>
      </c>
      <c r="C62" s="1097">
        <f>SUM(C49:C61)/13</f>
        <v>0</v>
      </c>
      <c r="D62" s="1097">
        <f>SUM(D49:D61)/13</f>
        <v>0</v>
      </c>
      <c r="E62" s="1097">
        <f>SUM(E49:E61)/13</f>
        <v>0</v>
      </c>
      <c r="F62" s="1098">
        <f>SUM(F49:F61)/13</f>
        <v>0</v>
      </c>
    </row>
    <row r="63" spans="1:11" ht="13.5" thickTop="1">
      <c r="A63" s="1073"/>
      <c r="B63" s="1099"/>
      <c r="I63" s="1101"/>
      <c r="K63" s="4"/>
    </row>
    <row r="64" spans="1:11">
      <c r="A64" s="1073">
        <v>43</v>
      </c>
      <c r="B64" s="1099" t="s">
        <v>725</v>
      </c>
      <c r="C64" s="1119">
        <f>+C42-C62</f>
        <v>11501990.510769229</v>
      </c>
      <c r="I64" s="1101"/>
      <c r="K64" s="4"/>
    </row>
    <row r="65" spans="1:6" customFormat="1"/>
    <row r="66" spans="1:6" customFormat="1"/>
    <row r="67" spans="1:6" customFormat="1" ht="25.5">
      <c r="A67" s="1121" t="s">
        <v>322</v>
      </c>
      <c r="B67" s="1122"/>
      <c r="C67" s="1123" t="s">
        <v>320</v>
      </c>
      <c r="D67" s="1124" t="str">
        <f>"Balance @ December 31, "&amp;TCOS!L4&amp;""</f>
        <v>Balance @ December 31, 2024</v>
      </c>
      <c r="E67" s="1125" t="str">
        <f>"Balance @ December 31, "&amp;TCOS!L4-1&amp;""</f>
        <v>Balance @ December 31, 2023</v>
      </c>
      <c r="F67" s="1125" t="str">
        <f>"Average Balance for "&amp;TCOS!L4&amp;""</f>
        <v>Average Balance for 2024</v>
      </c>
    </row>
    <row r="68" spans="1:6" customFormat="1">
      <c r="A68" s="1126"/>
      <c r="B68" s="1087" t="s">
        <v>705</v>
      </c>
      <c r="C68" s="1087" t="s">
        <v>723</v>
      </c>
      <c r="D68" s="1087" t="s">
        <v>724</v>
      </c>
      <c r="E68" s="1087" t="s">
        <v>706</v>
      </c>
      <c r="F68" s="1087" t="s">
        <v>707</v>
      </c>
    </row>
    <row r="69" spans="1:6" customFormat="1">
      <c r="A69" s="1127">
        <f>+A64+1</f>
        <v>44</v>
      </c>
      <c r="B69" s="1126" t="s">
        <v>322</v>
      </c>
      <c r="C69" s="1128" t="s">
        <v>169</v>
      </c>
      <c r="D69" s="439">
        <v>0</v>
      </c>
      <c r="E69" s="439">
        <v>0</v>
      </c>
      <c r="F69" s="1129">
        <f>IF(E69="",0,AVERAGE(D69:E69))</f>
        <v>0</v>
      </c>
    </row>
    <row r="70" spans="1:6" customFormat="1">
      <c r="A70" s="1130"/>
      <c r="B70" s="1131"/>
      <c r="C70" s="1131"/>
      <c r="F70" s="1132"/>
    </row>
    <row r="71" spans="1:6" customFormat="1">
      <c r="A71" s="1127">
        <f>+A69+1</f>
        <v>45</v>
      </c>
      <c r="B71" s="1126" t="s">
        <v>777</v>
      </c>
      <c r="C71" s="1133" t="s">
        <v>326</v>
      </c>
      <c r="D71" s="439">
        <v>0</v>
      </c>
      <c r="E71" s="439">
        <v>0</v>
      </c>
      <c r="F71" s="1129">
        <f>IF(E71="",0,AVERAGE(D71:E71))</f>
        <v>0</v>
      </c>
    </row>
    <row r="72" spans="1:6" customFormat="1">
      <c r="A72" s="4"/>
      <c r="B72" s="4"/>
      <c r="C72" s="4"/>
      <c r="D72" s="4"/>
    </row>
    <row r="73" spans="1:6" customFormat="1">
      <c r="A73" s="1126" t="s">
        <v>21</v>
      </c>
      <c r="B73" s="4"/>
      <c r="C73" s="4"/>
      <c r="D73" s="4"/>
    </row>
    <row r="74" spans="1:6" customFormat="1">
      <c r="A74" s="1134"/>
      <c r="B74" s="1131" t="s">
        <v>155</v>
      </c>
      <c r="C74" s="1131"/>
      <c r="D74" s="1131"/>
      <c r="E74" s="1131"/>
      <c r="F74" s="1131"/>
    </row>
    <row r="75" spans="1:6" customFormat="1">
      <c r="A75" s="1127">
        <f>+A71+1</f>
        <v>46</v>
      </c>
      <c r="B75" s="1300">
        <v>0</v>
      </c>
      <c r="C75" s="1300">
        <v>0</v>
      </c>
      <c r="D75" s="1301">
        <v>0</v>
      </c>
      <c r="E75" s="439">
        <v>0</v>
      </c>
      <c r="F75" s="1129">
        <f>IF(E75="",0,AVERAGE(D75:E75))</f>
        <v>0</v>
      </c>
    </row>
    <row r="76" spans="1:6" customFormat="1">
      <c r="A76" s="1127">
        <f>+A75+1</f>
        <v>47</v>
      </c>
      <c r="B76" s="1300">
        <v>0</v>
      </c>
      <c r="C76" s="1300">
        <v>0</v>
      </c>
      <c r="D76" s="1301">
        <v>0</v>
      </c>
      <c r="E76" s="439">
        <v>0</v>
      </c>
      <c r="F76" s="1129">
        <f>IF(E76="",0,AVERAGE(D76:E76))</f>
        <v>0</v>
      </c>
    </row>
    <row r="77" spans="1:6" customFormat="1">
      <c r="A77" s="1127">
        <f>+A76+1</f>
        <v>48</v>
      </c>
      <c r="B77" s="1300">
        <v>0</v>
      </c>
      <c r="C77" s="1300">
        <v>0</v>
      </c>
      <c r="D77" s="1301">
        <v>0</v>
      </c>
      <c r="E77" s="439">
        <v>0</v>
      </c>
      <c r="F77" s="1129">
        <f>IF(E77="",0,AVERAGE(D77:E77))</f>
        <v>0</v>
      </c>
    </row>
    <row r="78" spans="1:6" customFormat="1">
      <c r="A78" s="1127">
        <f>+A77+1</f>
        <v>49</v>
      </c>
      <c r="B78" s="1300">
        <v>0</v>
      </c>
      <c r="C78" s="1300">
        <v>0</v>
      </c>
      <c r="D78" s="1301">
        <v>0</v>
      </c>
      <c r="E78" s="439">
        <v>0</v>
      </c>
      <c r="F78" s="1129">
        <f>IF(E78="",0,AVERAGE(D78:E78))</f>
        <v>0</v>
      </c>
    </row>
    <row r="79" spans="1:6" customFormat="1">
      <c r="A79" s="1127">
        <f>+A78+1</f>
        <v>50</v>
      </c>
      <c r="B79" s="1300">
        <v>0</v>
      </c>
      <c r="C79" s="1300">
        <v>0</v>
      </c>
      <c r="D79" s="1302">
        <v>0</v>
      </c>
      <c r="E79" s="1135">
        <v>0</v>
      </c>
      <c r="F79" s="1136">
        <f>IF(E79="",0,AVERAGE(D79:E79))</f>
        <v>0</v>
      </c>
    </row>
    <row r="80" spans="1:6" customFormat="1" ht="18" customHeight="1">
      <c r="A80" s="1127">
        <f>+A79+1</f>
        <v>51</v>
      </c>
      <c r="B80" s="1131" t="s">
        <v>726</v>
      </c>
      <c r="C80" s="1131"/>
      <c r="D80" s="1137">
        <f>SUM(D75:D79)</f>
        <v>0</v>
      </c>
      <c r="E80" s="1137">
        <f>SUM(E75:E79)</f>
        <v>0</v>
      </c>
      <c r="F80" s="1137">
        <f>SUM(F75:F79)</f>
        <v>0</v>
      </c>
    </row>
    <row r="81" spans="1:6" customFormat="1" ht="17.25" customHeight="1">
      <c r="A81" s="1127"/>
      <c r="B81" s="1131"/>
      <c r="C81" s="1131"/>
      <c r="D81" s="1137"/>
      <c r="E81" s="1137"/>
      <c r="F81" s="1137"/>
    </row>
    <row r="82" spans="1:6" customFormat="1" ht="18.75" customHeight="1">
      <c r="A82" s="1126" t="s">
        <v>727</v>
      </c>
      <c r="B82" s="1138"/>
      <c r="C82" s="1138"/>
      <c r="D82" s="1138"/>
      <c r="E82" s="1131"/>
      <c r="F82" s="1131"/>
    </row>
    <row r="83" spans="1:6" customFormat="1" ht="31.5" customHeight="1">
      <c r="A83" s="1122"/>
      <c r="B83" s="1139"/>
      <c r="C83" s="1140"/>
      <c r="D83" s="5"/>
      <c r="E83" s="1131"/>
      <c r="F83" s="1131"/>
    </row>
    <row r="84" spans="1:6" customFormat="1" ht="21.75" customHeight="1">
      <c r="A84" s="1122">
        <f>+A80+1</f>
        <v>52</v>
      </c>
      <c r="B84" s="1141" t="s">
        <v>459</v>
      </c>
      <c r="C84" s="1141" t="s">
        <v>102</v>
      </c>
      <c r="D84" s="1142"/>
      <c r="E84" s="9"/>
      <c r="F84" s="1141"/>
    </row>
    <row r="85" spans="1:6" customFormat="1" ht="14.25">
      <c r="A85" s="1143" t="s">
        <v>728</v>
      </c>
      <c r="B85" s="1303">
        <v>0</v>
      </c>
      <c r="C85" s="1304">
        <v>0</v>
      </c>
      <c r="D85" s="1301">
        <v>0</v>
      </c>
      <c r="E85" s="1301">
        <v>0</v>
      </c>
      <c r="F85" s="1144">
        <f>IF(E85="",0,AVERAGE(D85:E85))</f>
        <v>0</v>
      </c>
    </row>
    <row r="86" spans="1:6" customFormat="1" ht="14.25">
      <c r="A86" s="1145" t="s">
        <v>729</v>
      </c>
      <c r="B86" s="1301">
        <v>0</v>
      </c>
      <c r="C86" s="1304">
        <v>0</v>
      </c>
      <c r="D86" s="1301">
        <v>0</v>
      </c>
      <c r="E86" s="1301">
        <v>0</v>
      </c>
      <c r="F86" s="1146">
        <f>IF(E86="",0,AVERAGE(D86:E86))</f>
        <v>0</v>
      </c>
    </row>
    <row r="87" spans="1:6" customFormat="1" ht="18" customHeight="1">
      <c r="A87" s="1147">
        <f>A84+2</f>
        <v>54</v>
      </c>
      <c r="B87" s="9"/>
      <c r="C87" s="1148" t="s">
        <v>412</v>
      </c>
      <c r="D87" s="1119">
        <f>SUM(D85:D86)</f>
        <v>0</v>
      </c>
      <c r="E87" s="1119">
        <f>SUM(E85:E86)</f>
        <v>0</v>
      </c>
      <c r="F87" s="1119">
        <f>SUM(F85:F86)</f>
        <v>0</v>
      </c>
    </row>
    <row r="88" spans="1:6" customFormat="1">
      <c r="A88" s="1127"/>
      <c r="B88" s="1131"/>
      <c r="C88" s="1131"/>
      <c r="D88" s="1131"/>
    </row>
    <row r="89" spans="1:6">
      <c r="A89" s="1149" t="s">
        <v>730</v>
      </c>
      <c r="B89" s="1131"/>
      <c r="C89" s="1131"/>
      <c r="D89" s="1131"/>
    </row>
    <row r="90" spans="1:6">
      <c r="A90" s="1149" t="s">
        <v>731</v>
      </c>
      <c r="B90" s="1131"/>
      <c r="C90" s="1131"/>
      <c r="D90" s="1131"/>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1" zoomScale="75" zoomScaleNormal="75" workbookViewId="0">
      <selection activeCell="A4" sqref="D4"/>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4" t="s">
        <v>408</v>
      </c>
    </row>
    <row r="2" spans="1:12" ht="15.75">
      <c r="A2" s="1004" t="s">
        <v>408</v>
      </c>
    </row>
    <row r="3" spans="1:12" ht="15">
      <c r="A3" s="1472" t="str">
        <f>TCOS!$F$5</f>
        <v>AEPTCo subsidiaries in PJM</v>
      </c>
      <c r="B3" s="1472" t="str">
        <f>TCOS!$F$5</f>
        <v>AEPTCo subsidiaries in PJM</v>
      </c>
      <c r="C3" s="1472" t="str">
        <f>TCOS!$F$5</f>
        <v>AEPTCo subsidiaries in PJM</v>
      </c>
      <c r="D3" s="1472" t="str">
        <f>TCOS!$F$5</f>
        <v>AEPTCo subsidiaries in PJM</v>
      </c>
      <c r="E3" s="1472" t="str">
        <f>TCOS!$F$5</f>
        <v>AEPTCo subsidiaries in PJM</v>
      </c>
      <c r="F3" s="1472" t="str">
        <f>TCOS!$F$5</f>
        <v>AEPTCo subsidiaries in PJM</v>
      </c>
      <c r="G3" s="1472" t="str">
        <f>TCOS!$F$5</f>
        <v>AEPTCo subsidiaries in PJM</v>
      </c>
      <c r="H3" s="1472" t="str">
        <f>TCOS!$F$5</f>
        <v>AEPTCo subsidiaries in PJM</v>
      </c>
      <c r="I3" s="1472" t="str">
        <f>TCOS!$F$5</f>
        <v>AEPTCo subsidiaries in PJM</v>
      </c>
      <c r="J3" s="21"/>
    </row>
    <row r="4" spans="1:12" ht="15">
      <c r="A4" s="1465" t="str">
        <f>"Cost of Service Formula Rate Using Actual/Projected FF1 Balances"</f>
        <v>Cost of Service Formula Rate Using Actual/Projected FF1 Balances</v>
      </c>
      <c r="B4" s="1465"/>
      <c r="C4" s="1465"/>
      <c r="D4" s="1465"/>
      <c r="E4" s="1465"/>
      <c r="F4" s="1465"/>
      <c r="G4" s="1465"/>
      <c r="H4" s="1465"/>
      <c r="I4" s="1465"/>
      <c r="J4" s="53"/>
    </row>
    <row r="5" spans="1:12" ht="15">
      <c r="A5" s="1465" t="s">
        <v>262</v>
      </c>
      <c r="B5" s="1465"/>
      <c r="C5" s="1465"/>
      <c r="D5" s="1465"/>
      <c r="E5" s="1465"/>
      <c r="F5" s="1465"/>
      <c r="G5" s="1465"/>
      <c r="H5" s="1465"/>
      <c r="I5" s="1465"/>
      <c r="J5" s="52"/>
    </row>
    <row r="6" spans="1:12" ht="15">
      <c r="A6" s="1475" t="str">
        <f>TCOS!F9</f>
        <v>AEP Appalachian Transmission Company</v>
      </c>
      <c r="B6" s="1475"/>
      <c r="C6" s="1475"/>
      <c r="D6" s="1475"/>
      <c r="E6" s="1475"/>
      <c r="F6" s="1475"/>
      <c r="G6" s="1475"/>
      <c r="H6" s="1475"/>
      <c r="I6" s="1475"/>
      <c r="J6" s="3"/>
    </row>
    <row r="7" spans="1:12">
      <c r="C7" s="17"/>
      <c r="D7" s="17"/>
    </row>
    <row r="8" spans="1:12" ht="15">
      <c r="A8" s="974"/>
      <c r="B8" s="985"/>
      <c r="C8" s="989" t="s">
        <v>454</v>
      </c>
      <c r="D8" s="989" t="s">
        <v>455</v>
      </c>
      <c r="E8" s="989" t="s">
        <v>456</v>
      </c>
      <c r="F8" s="974"/>
      <c r="G8" s="989" t="s">
        <v>457</v>
      </c>
      <c r="H8" s="974"/>
      <c r="I8" s="989" t="s">
        <v>377</v>
      </c>
      <c r="J8" s="5"/>
      <c r="K8"/>
      <c r="L8"/>
    </row>
    <row r="9" spans="1:12" ht="15">
      <c r="A9" s="973"/>
      <c r="B9" s="985"/>
      <c r="C9" s="974"/>
      <c r="D9" s="974"/>
      <c r="E9" s="974"/>
      <c r="F9" s="974"/>
      <c r="G9" s="974"/>
      <c r="H9" s="974"/>
      <c r="I9" s="990"/>
      <c r="J9"/>
      <c r="K9"/>
      <c r="L9"/>
    </row>
    <row r="10" spans="1:12" ht="12.75" customHeight="1">
      <c r="A10" s="988" t="s">
        <v>461</v>
      </c>
      <c r="B10" s="985"/>
      <c r="C10" s="991"/>
      <c r="D10" s="991"/>
      <c r="E10" s="1473" t="str">
        <f>"Balance @    December 31, "&amp;TCOS!L4&amp;""</f>
        <v>Balance @    December 31, 2024</v>
      </c>
      <c r="F10" s="992"/>
      <c r="G10" s="1473" t="str">
        <f>"Balance @     December 31, "&amp;TCOS!L4-1&amp;""</f>
        <v>Balance @     December 31, 2023</v>
      </c>
      <c r="H10" s="992"/>
      <c r="I10" s="1476" t="str">
        <f>"Average Balance for "&amp;TCOS!L4&amp;""</f>
        <v>Average Balance for 2024</v>
      </c>
      <c r="J10"/>
      <c r="K10"/>
      <c r="L10"/>
    </row>
    <row r="11" spans="1:12" ht="15">
      <c r="A11" s="995" t="s">
        <v>399</v>
      </c>
      <c r="B11" s="993"/>
      <c r="C11" s="988" t="s">
        <v>459</v>
      </c>
      <c r="D11" s="988" t="s">
        <v>490</v>
      </c>
      <c r="E11" s="1474"/>
      <c r="F11" s="994"/>
      <c r="G11" s="1474"/>
      <c r="H11" s="994"/>
      <c r="I11" s="1474"/>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88"/>
      <c r="H16"/>
    </row>
    <row r="17" spans="1:9" ht="14.25">
      <c r="A17" s="51">
        <f>+A15+1</f>
        <v>2</v>
      </c>
      <c r="C17" s="982" t="s">
        <v>301</v>
      </c>
      <c r="D17" s="986" t="s">
        <v>303</v>
      </c>
      <c r="E17" s="972">
        <f>SUM('WS B-1 - Actual Stmt. AF'!Q23:S23)</f>
        <v>0</v>
      </c>
      <c r="F17" s="977"/>
      <c r="G17" s="972">
        <f>SUM('WS B-1 - Actual Stmt. AF'!M23:O23)</f>
        <v>0</v>
      </c>
      <c r="H17" s="978"/>
      <c r="I17" s="979">
        <f>IF(G17="",0,(E17+G17)/2)</f>
        <v>0</v>
      </c>
    </row>
    <row r="18" spans="1:9" ht="14.25">
      <c r="A18" s="51">
        <f>+A17+1</f>
        <v>3</v>
      </c>
      <c r="C18" s="982" t="s">
        <v>305</v>
      </c>
      <c r="D18" s="1237" t="str">
        <f>"WS B-1 - Actual Stmt. AF Ln. " &amp;'WS B-1 - Actual Stmt. AF'!A24&amp;" (Note 1)"</f>
        <v>WS B-1 - Actual Stmt. AF Ln. 4 (Note 1)</v>
      </c>
      <c r="E18" s="972">
        <f>SUM('WS B-1 - Actual Stmt. AF'!Q24:S24)</f>
        <v>0</v>
      </c>
      <c r="F18" s="977"/>
      <c r="G18" s="972">
        <f>SUM('WS B-1 - Actual Stmt. AF'!M24:O24)</f>
        <v>0</v>
      </c>
      <c r="H18" s="978"/>
      <c r="I18" s="979">
        <f>IF(G18="",0,(E18+G18)/2)</f>
        <v>0</v>
      </c>
    </row>
    <row r="19" spans="1:9" ht="16.5">
      <c r="A19" s="51">
        <f>+A18+1</f>
        <v>4</v>
      </c>
      <c r="C19" s="982" t="s">
        <v>306</v>
      </c>
      <c r="D19" s="1237" t="str">
        <f>"WS B-1 - Actual Stmt. AF Ln. " &amp;'WS B-1 - Actual Stmt. AF'!A23&amp;" (Note 1)"</f>
        <v>WS B-1 - Actual Stmt. AF Ln. 3 (Note 1)</v>
      </c>
      <c r="E19" s="976">
        <f>('WS B-1 - Actual Stmt. AF'!Q23+'WS B-1 - Actual Stmt. AF'!S23)-('WS B-1 - Actual Stmt. AF'!Q24+'WS B-1 - Actual Stmt. AF'!S24)</f>
        <v>0</v>
      </c>
      <c r="F19" s="974"/>
      <c r="G19" s="976">
        <f>('WS B-1 - Actual Stmt. AF'!M23+'WS B-1 - Actual Stmt. AF'!O23)-('WS B-1 - Actual Stmt. AF'!M24+'WS B-1 - Actual Stmt. AF'!O24)</f>
        <v>0</v>
      </c>
      <c r="H19" s="974"/>
      <c r="I19" s="980">
        <f>IF(G19="",0,(E19+G19)/2)</f>
        <v>0</v>
      </c>
    </row>
    <row r="20" spans="1:9" ht="14.25">
      <c r="A20" s="51">
        <f>+A19+1</f>
        <v>5</v>
      </c>
      <c r="C20" s="982" t="s">
        <v>302</v>
      </c>
      <c r="D20" s="987" t="str">
        <f>"Ln "&amp;A17&amp;" - ln "&amp;A18&amp;" - ln "&amp;A19&amp;""</f>
        <v>Ln 2 - ln 3 - ln 4</v>
      </c>
      <c r="E20" s="981">
        <f>+E17-E18-E19</f>
        <v>0</v>
      </c>
      <c r="F20" s="974"/>
      <c r="G20" s="981">
        <f>+G17-G18-G19</f>
        <v>0</v>
      </c>
      <c r="H20" s="974"/>
      <c r="I20" s="979">
        <f>+I17-I18-I19</f>
        <v>0</v>
      </c>
    </row>
    <row r="21" spans="1:9" ht="14.25">
      <c r="A21" s="51"/>
      <c r="C21" s="42"/>
      <c r="D21" s="982"/>
      <c r="E21" s="974"/>
      <c r="F21" s="974"/>
      <c r="G21" s="974"/>
      <c r="H21" s="974"/>
      <c r="I21" s="974"/>
    </row>
    <row r="22" spans="1:9" ht="14.25">
      <c r="A22" s="51"/>
      <c r="C22" s="42"/>
      <c r="D22" s="982"/>
      <c r="E22" s="974"/>
      <c r="F22" s="974"/>
      <c r="G22" s="974"/>
      <c r="H22" s="974"/>
      <c r="I22" s="974"/>
    </row>
    <row r="23" spans="1:9" ht="15.75">
      <c r="A23" s="51">
        <f>+A20+1</f>
        <v>6</v>
      </c>
      <c r="C23" s="40" t="s">
        <v>296</v>
      </c>
      <c r="D23" s="982"/>
      <c r="E23" s="974"/>
      <c r="F23" s="974"/>
      <c r="G23" s="974"/>
      <c r="H23" s="974"/>
      <c r="I23" s="974"/>
    </row>
    <row r="24" spans="1:9" ht="14.25">
      <c r="A24" s="51"/>
      <c r="C24" s="42"/>
      <c r="D24" s="982"/>
      <c r="E24" s="974"/>
      <c r="F24" s="974"/>
      <c r="G24" s="974"/>
      <c r="H24" s="974"/>
      <c r="I24" s="974"/>
    </row>
    <row r="25" spans="1:9" ht="14.25">
      <c r="A25" s="51">
        <f>+A23+1</f>
        <v>7</v>
      </c>
      <c r="C25" s="982" t="s">
        <v>301</v>
      </c>
      <c r="D25" s="986" t="s">
        <v>229</v>
      </c>
      <c r="E25" s="972">
        <f>SUM('WS B-1 - Actual Stmt. AF'!Q55:S55)-'WS B-1 - Actual Stmt. AF'!D48</f>
        <v>7150234.2199999997</v>
      </c>
      <c r="F25" s="977"/>
      <c r="G25" s="972">
        <f>SUM('WS B-1 - Actual Stmt. AF'!M55:O55)-'WS B-1 - Actual Stmt. AF'!C48</f>
        <v>5623452.8999999994</v>
      </c>
      <c r="H25" s="978"/>
      <c r="I25" s="979">
        <f>IF(G25="",0,(E25+G25)/2)</f>
        <v>6386843.5599999996</v>
      </c>
    </row>
    <row r="26" spans="1:9" ht="14.25">
      <c r="A26" s="51">
        <f>+A25+1</f>
        <v>8</v>
      </c>
      <c r="C26" s="982" t="s">
        <v>305</v>
      </c>
      <c r="D26" s="1237" t="str">
        <f>"WS B-1 - Actual Stmt. AF Ln. " &amp;'WS B-1 - Actual Stmt. AF'!A56&amp;" (Note 1)"</f>
        <v>WS B-1 - Actual Stmt. AF Ln. 7 (Note 1)</v>
      </c>
      <c r="E26" s="972">
        <f>SUM('WS B-1 - Actual Stmt. AF'!Q56:S56)</f>
        <v>0</v>
      </c>
      <c r="F26" s="977"/>
      <c r="G26" s="972">
        <f>SUM('WS B-1 - Actual Stmt. AF'!M56:O56)</f>
        <v>0</v>
      </c>
      <c r="H26" s="978"/>
      <c r="I26" s="979">
        <f>IF(G26="",0,(E26+G26)/2)</f>
        <v>0</v>
      </c>
    </row>
    <row r="27" spans="1:9" ht="16.5">
      <c r="A27" s="51">
        <f>+A26+1</f>
        <v>9</v>
      </c>
      <c r="C27" s="982" t="s">
        <v>306</v>
      </c>
      <c r="D27" s="1237" t="str">
        <f>"WS B-1 - Actual Stmt. AF Ln. " &amp;'WS B-1 - Actual Stmt. AF'!A55&amp;" (Note 1)"</f>
        <v>WS B-1 - Actual Stmt. AF Ln. 6 (Note 1)</v>
      </c>
      <c r="E27" s="976">
        <f>('WS B-1 - Actual Stmt. AF'!Q55+'WS B-1 - Actual Stmt. AF'!S55)-('WS B-1 - Actual Stmt. AF'!Q56+'WS B-1 - Actual Stmt. AF'!S56)-'WS B-1 - Actual Stmt. AF'!D48</f>
        <v>0</v>
      </c>
      <c r="F27" s="974"/>
      <c r="G27" s="976">
        <f>('WS B-1 - Actual Stmt. AF'!M55+'WS B-1 - Actual Stmt. AF'!O55)-('WS B-1 - Actual Stmt. AF'!M56+'WS B-1 - Actual Stmt. AF'!O56)-'WS B-1 - Actual Stmt. AF'!C48</f>
        <v>0</v>
      </c>
      <c r="H27" s="974"/>
      <c r="I27" s="980">
        <f>IF(G27="",0,(E27+G27)/2)</f>
        <v>0</v>
      </c>
    </row>
    <row r="28" spans="1:9" ht="14.25">
      <c r="A28" s="51">
        <f>+A27+1</f>
        <v>10</v>
      </c>
      <c r="C28" s="982" t="s">
        <v>302</v>
      </c>
      <c r="D28" s="987" t="str">
        <f>"Ln "&amp;A25&amp;" - ln "&amp;A26&amp;" - ln "&amp;A27&amp;""</f>
        <v>Ln 7 - ln 8 - ln 9</v>
      </c>
      <c r="E28" s="981">
        <f>+E25-E26-E27</f>
        <v>7150234.2199999997</v>
      </c>
      <c r="F28" s="974"/>
      <c r="G28" s="981">
        <f>+G25-G26-G27</f>
        <v>5623452.8999999994</v>
      </c>
      <c r="H28" s="974"/>
      <c r="I28" s="979">
        <f>+I25-I26-I27</f>
        <v>6386843.5599999996</v>
      </c>
    </row>
    <row r="29" spans="1:9" ht="14.25">
      <c r="A29" s="51"/>
      <c r="C29" s="42"/>
      <c r="D29" s="982"/>
      <c r="E29" s="974"/>
      <c r="F29" s="974"/>
      <c r="G29" s="974"/>
      <c r="H29" s="974"/>
      <c r="I29" s="974"/>
    </row>
    <row r="30" spans="1:9" ht="14.25">
      <c r="A30" s="51"/>
      <c r="C30" s="42"/>
      <c r="D30" s="982"/>
      <c r="E30" s="975"/>
      <c r="F30" s="974"/>
      <c r="G30" s="975"/>
      <c r="H30" s="974"/>
      <c r="I30" s="974"/>
    </row>
    <row r="31" spans="1:9" ht="15.75">
      <c r="A31" s="51">
        <f>+A28+1</f>
        <v>11</v>
      </c>
      <c r="C31" s="40" t="s">
        <v>297</v>
      </c>
      <c r="D31" s="982"/>
      <c r="E31" s="974"/>
      <c r="F31" s="974"/>
      <c r="G31" s="974"/>
      <c r="H31" s="974"/>
      <c r="I31" s="974"/>
    </row>
    <row r="32" spans="1:9" ht="15.75">
      <c r="A32" s="51"/>
      <c r="C32" s="40"/>
      <c r="D32" s="982"/>
      <c r="E32" s="974"/>
      <c r="F32" s="974"/>
      <c r="G32" s="974"/>
      <c r="H32" s="974"/>
      <c r="I32" s="974"/>
    </row>
    <row r="33" spans="1:9" ht="14.25">
      <c r="A33" s="51">
        <f>+A31+1</f>
        <v>12</v>
      </c>
      <c r="C33" s="982" t="s">
        <v>301</v>
      </c>
      <c r="D33" s="986" t="s">
        <v>304</v>
      </c>
      <c r="E33" s="972">
        <f>SUM('WS B-1 - Actual Stmt. AF'!Q84:S84)-'WS B-1 - Actual Stmt. AF'!D69</f>
        <v>2281189.7000000002</v>
      </c>
      <c r="F33" s="977"/>
      <c r="G33" s="972">
        <f>SUM('WS B-1 - Actual Stmt. AF'!M84:O84)-'WS B-1 - Actual Stmt. AF'!C69</f>
        <v>1827987.6600000001</v>
      </c>
      <c r="H33" s="978"/>
      <c r="I33" s="979">
        <f>IF(G33="",0,(E33+G33)/2)</f>
        <v>2054588.6800000002</v>
      </c>
    </row>
    <row r="34" spans="1:9" ht="14.25">
      <c r="A34" s="51">
        <f>+A33+1</f>
        <v>13</v>
      </c>
      <c r="C34" s="982" t="s">
        <v>305</v>
      </c>
      <c r="D34" s="1237" t="str">
        <f>"WS B-1 - Actual Stmt. AF Ln. " &amp;'WS B-1 - Actual Stmt. AF'!A85&amp;" (Note 1)"</f>
        <v>WS B-1 - Actual Stmt. AF Ln. 13 (Note 1)</v>
      </c>
      <c r="E34" s="972">
        <f>SUM('WS B-1 - Actual Stmt. AF'!Q85:S85)</f>
        <v>0</v>
      </c>
      <c r="F34" s="977"/>
      <c r="G34" s="972">
        <f>SUM('WS B-1 - Actual Stmt. AF'!M85:O85)</f>
        <v>0</v>
      </c>
      <c r="H34" s="978"/>
      <c r="I34" s="979">
        <f>IF(G34="",0,(E34+G34)/2)</f>
        <v>0</v>
      </c>
    </row>
    <row r="35" spans="1:9" ht="16.5">
      <c r="A35" s="51">
        <f>+A34+1</f>
        <v>14</v>
      </c>
      <c r="C35" s="982" t="s">
        <v>306</v>
      </c>
      <c r="D35" s="1237" t="str">
        <f>"WS B-1 - Actual Stmt. AF Ln. " &amp;'WS B-1 - Actual Stmt. AF'!A84&amp;" (Note 1)"</f>
        <v>WS B-1 - Actual Stmt. AF Ln. 12 (Note 1)</v>
      </c>
      <c r="E35" s="976">
        <f>('WS B-1 - Actual Stmt. AF'!Q84+'WS B-1 - Actual Stmt. AF'!S84)-('WS B-1 - Actual Stmt. AF'!Q85+'WS B-1 - Actual Stmt. AF'!S85)-'WS B-1 - Actual Stmt. AF'!D69</f>
        <v>0</v>
      </c>
      <c r="F35" s="974"/>
      <c r="G35" s="976">
        <f>('WS B-1 - Actual Stmt. AF'!M84+'WS B-1 - Actual Stmt. AF'!O84)-('WS B-1 - Actual Stmt. AF'!M85+'WS B-1 - Actual Stmt. AF'!O85)-'WS B-1 - Actual Stmt. AF'!C69</f>
        <v>0</v>
      </c>
      <c r="H35" s="974"/>
      <c r="I35" s="980">
        <f>IF(G35="",0,(E35+G35)/2)</f>
        <v>0</v>
      </c>
    </row>
    <row r="36" spans="1:9" ht="14.25">
      <c r="A36" s="51">
        <f>+A35+1</f>
        <v>15</v>
      </c>
      <c r="C36" s="982" t="s">
        <v>302</v>
      </c>
      <c r="D36" s="987" t="str">
        <f>"Ln "&amp;A33&amp;" - ln "&amp;A34&amp;" - ln "&amp;A35&amp;""</f>
        <v>Ln 12 - ln 13 - ln 14</v>
      </c>
      <c r="E36" s="981">
        <f>+E33-E34-E35</f>
        <v>2281189.7000000002</v>
      </c>
      <c r="F36" s="974"/>
      <c r="G36" s="981">
        <f>+G33-G34-G35</f>
        <v>1827987.6600000001</v>
      </c>
      <c r="H36" s="974"/>
      <c r="I36" s="979">
        <f>+I33-I34-I35</f>
        <v>2054588.6800000002</v>
      </c>
    </row>
    <row r="37" spans="1:9" ht="15.75">
      <c r="A37" s="51"/>
      <c r="C37" s="40"/>
      <c r="D37" s="982"/>
      <c r="E37" s="974"/>
      <c r="F37" s="974"/>
      <c r="G37" s="974"/>
      <c r="H37" s="974"/>
      <c r="I37" s="974"/>
    </row>
    <row r="38" spans="1:9" ht="14.25">
      <c r="A38" s="51"/>
      <c r="C38" s="42"/>
      <c r="D38" s="982"/>
      <c r="E38" s="974"/>
      <c r="F38" s="974"/>
      <c r="G38" s="974"/>
      <c r="H38" s="974"/>
      <c r="I38" s="974"/>
    </row>
    <row r="39" spans="1:9" ht="15.75">
      <c r="A39" s="51">
        <f>+A36+1</f>
        <v>16</v>
      </c>
      <c r="C39" s="40" t="s">
        <v>298</v>
      </c>
      <c r="D39" s="982"/>
      <c r="E39" s="974"/>
      <c r="F39" s="974"/>
      <c r="G39" s="974"/>
      <c r="H39" s="974"/>
      <c r="I39" s="974"/>
    </row>
    <row r="40" spans="1:9" ht="14.25">
      <c r="A40" s="51"/>
      <c r="C40" s="42"/>
      <c r="D40" s="982"/>
      <c r="E40" s="974"/>
      <c r="F40" s="974"/>
      <c r="G40" s="974"/>
      <c r="H40" s="974"/>
      <c r="I40" s="974"/>
    </row>
    <row r="41" spans="1:9" ht="14.25">
      <c r="A41" s="51">
        <f>+A39+1</f>
        <v>17</v>
      </c>
      <c r="C41" s="982" t="s">
        <v>301</v>
      </c>
      <c r="D41" s="986" t="s">
        <v>300</v>
      </c>
      <c r="E41" s="972">
        <f>SUM('WS B-2 - Actual Stmt. AG'!Q64:S64)-'WS B-2 - Actual Stmt. AG'!D54</f>
        <v>920716.49000000022</v>
      </c>
      <c r="F41" s="977"/>
      <c r="G41" s="972">
        <f>SUM('WS B-2 - Actual Stmt. AG'!M64:O64)-'WS B-2 - Actual Stmt. AG'!C54</f>
        <v>687562.42000000016</v>
      </c>
      <c r="H41" s="978"/>
      <c r="I41" s="979">
        <f>IF(G41="",0,(E41+G41)/2)</f>
        <v>804139.45500000019</v>
      </c>
    </row>
    <row r="42" spans="1:9" ht="14.25">
      <c r="A42" s="51">
        <f>+A41+1</f>
        <v>18</v>
      </c>
      <c r="C42" s="982" t="s">
        <v>305</v>
      </c>
      <c r="D42" s="1237" t="str">
        <f>"WS B-2 - Actual Stmt. AG Ln. " &amp;'WS B-2 - Actual Stmt. AG'!A65&amp;" (Note 1)"</f>
        <v>WS B-2 - Actual Stmt. AG Ln. 4 (Note 1)</v>
      </c>
      <c r="E42" s="972">
        <f>SUM('WS B-2 - Actual Stmt. AG'!Q65:S65)</f>
        <v>0</v>
      </c>
      <c r="F42" s="977"/>
      <c r="G42" s="972">
        <f>SUM('WS B-2 - Actual Stmt. AG'!M65:O65)</f>
        <v>0</v>
      </c>
      <c r="H42" s="978"/>
      <c r="I42" s="979">
        <f>IF(G42="",0,(E42+G42)/2)</f>
        <v>0</v>
      </c>
    </row>
    <row r="43" spans="1:9" ht="16.5">
      <c r="A43" s="51">
        <f>+A42+1</f>
        <v>19</v>
      </c>
      <c r="C43" s="982" t="s">
        <v>306</v>
      </c>
      <c r="D43" s="1237" t="str">
        <f>"WS B-2 - Actual Stmt. AG Ln. " &amp;'WS B-2 - Actual Stmt. AG'!A64&amp;" (Note 1)"</f>
        <v>WS B-2 - Actual Stmt. AG Ln. 3 (Note 1)</v>
      </c>
      <c r="E43" s="976">
        <f>('WS B-2 - Actual Stmt. AG'!Q64+'WS B-2 - Actual Stmt. AG'!S64)-('WS B-2 - Actual Stmt. AG'!Q65+'WS B-2 - Actual Stmt. AG'!S65)-'WS B-2 - Actual Stmt. AG'!D54</f>
        <v>-1670974.0252800002</v>
      </c>
      <c r="F43" s="974"/>
      <c r="G43" s="976">
        <f>('WS B-2 - Actual Stmt. AG'!M64+'WS B-2 - Actual Stmt. AG'!O64)-('WS B-2 - Actual Stmt. AG'!M65+'WS B-2 - Actual Stmt. AG'!O65)-'WS B-2 - Actual Stmt. AG'!C54</f>
        <v>-1672574.5176000001</v>
      </c>
      <c r="H43" s="974"/>
      <c r="I43" s="980">
        <f>IF(G43="",0,(E43+G43)/2)</f>
        <v>-1671774.2714400003</v>
      </c>
    </row>
    <row r="44" spans="1:9" ht="14.25">
      <c r="A44" s="51">
        <f>+A43+1</f>
        <v>20</v>
      </c>
      <c r="C44" s="982" t="s">
        <v>302</v>
      </c>
      <c r="D44" s="987" t="str">
        <f>"Ln "&amp;A41&amp;" - ln "&amp;A42&amp;" - ln "&amp;A43&amp;""</f>
        <v>Ln 17 - ln 18 - ln 19</v>
      </c>
      <c r="E44" s="981">
        <f>+E41-E42-E43</f>
        <v>2591690.5152800004</v>
      </c>
      <c r="F44" s="977"/>
      <c r="G44" s="981">
        <f>+G41-G42-G43</f>
        <v>2360136.9376000003</v>
      </c>
      <c r="H44" s="974"/>
      <c r="I44" s="979">
        <f>+I41-I42-I43</f>
        <v>2475913.7264400003</v>
      </c>
    </row>
    <row r="45" spans="1:9" ht="14.25">
      <c r="A45" s="51"/>
      <c r="C45" s="42"/>
      <c r="D45" s="42"/>
      <c r="E45" s="974"/>
      <c r="F45" s="974"/>
      <c r="G45" s="974"/>
      <c r="H45" s="974"/>
      <c r="I45" s="974"/>
    </row>
    <row r="46" spans="1:9" ht="14.25">
      <c r="A46" s="51"/>
      <c r="C46" s="42"/>
      <c r="D46" s="42"/>
      <c r="E46" s="974"/>
      <c r="F46" s="974"/>
      <c r="G46" s="974"/>
      <c r="H46" s="974"/>
      <c r="I46" s="974"/>
    </row>
    <row r="47" spans="1:9" ht="15.75">
      <c r="A47" s="51">
        <f>+A44+1</f>
        <v>21</v>
      </c>
      <c r="C47" s="40" t="s">
        <v>299</v>
      </c>
      <c r="D47" s="42"/>
      <c r="E47" s="974"/>
      <c r="F47" s="974"/>
      <c r="G47" s="974"/>
      <c r="H47" s="974"/>
      <c r="I47" s="974"/>
    </row>
    <row r="48" spans="1:9" ht="14.25">
      <c r="A48" s="51"/>
      <c r="C48" s="42"/>
      <c r="D48" s="42"/>
      <c r="E48" s="974"/>
      <c r="F48" s="974"/>
      <c r="G48" s="974"/>
      <c r="H48" s="974"/>
      <c r="I48" s="974"/>
    </row>
    <row r="49" spans="1:10" ht="14.25">
      <c r="A49" s="51">
        <f>+A47+1</f>
        <v>22</v>
      </c>
      <c r="C49" s="982" t="s">
        <v>307</v>
      </c>
      <c r="D49" s="986" t="s">
        <v>261</v>
      </c>
      <c r="E49" s="972">
        <f>SUM('WS B-1 - Actual Stmt. AF'!Q98:S98)</f>
        <v>0</v>
      </c>
      <c r="F49" s="974"/>
      <c r="G49" s="972">
        <f>SUM('WS B-1 - Actual Stmt. AF'!M98:O98)</f>
        <v>0</v>
      </c>
      <c r="H49" s="978"/>
      <c r="I49" s="979">
        <f>IF(G49="",0,(E49+G49)/2)</f>
        <v>0</v>
      </c>
    </row>
    <row r="50" spans="1:10" ht="16.5">
      <c r="A50" s="51">
        <f>+A49+1</f>
        <v>23</v>
      </c>
      <c r="C50" s="982" t="s">
        <v>308</v>
      </c>
      <c r="D50" s="973" t="s">
        <v>326</v>
      </c>
      <c r="E50" s="976">
        <v>0</v>
      </c>
      <c r="F50" s="974"/>
      <c r="G50" s="976">
        <v>0</v>
      </c>
      <c r="H50" s="978"/>
      <c r="I50" s="980">
        <f>IF(G50="",0,(E50+G50)/2)</f>
        <v>0</v>
      </c>
    </row>
    <row r="51" spans="1:10" ht="14.25">
      <c r="A51" s="51">
        <f>+A50+1</f>
        <v>24</v>
      </c>
      <c r="C51" s="982" t="s">
        <v>252</v>
      </c>
      <c r="D51" s="987" t="str">
        <f>"Ln "&amp;A49&amp;" - ln "&amp;A50&amp;""</f>
        <v>Ln 22 - ln 23</v>
      </c>
      <c r="E51" s="981">
        <f>+E49-E50</f>
        <v>0</v>
      </c>
      <c r="F51" s="974"/>
      <c r="G51" s="981">
        <f>+G49-G50</f>
        <v>0</v>
      </c>
      <c r="H51" s="978"/>
      <c r="I51" s="979">
        <f>+I49-I50</f>
        <v>0</v>
      </c>
    </row>
    <row r="52" spans="1:10" ht="14.25">
      <c r="A52" s="51">
        <f>+A51+1</f>
        <v>25</v>
      </c>
      <c r="C52" s="982" t="s">
        <v>302</v>
      </c>
      <c r="D52" s="987" t="str">
        <f>"WS B-1 - Actual Stmt. AF Ln. " &amp;'WS B-1 - Actual Stmt. AF'!A98&amp;" (Note 1)"</f>
        <v>WS B-1 - Actual Stmt. AF Ln. 20 (Note 1)</v>
      </c>
      <c r="E52" s="972">
        <f>'WS B-1 - Actual Stmt. AF'!R98</f>
        <v>0</v>
      </c>
      <c r="F52" s="974"/>
      <c r="G52" s="972">
        <f>'WS B-1 - Actual Stmt. AF'!N98</f>
        <v>0</v>
      </c>
      <c r="H52" s="978"/>
      <c r="I52" s="979">
        <f>IF(G52="",0,(E52+G52)/2)</f>
        <v>0</v>
      </c>
    </row>
    <row r="53" spans="1:10">
      <c r="A53" s="51"/>
      <c r="C53" s="42"/>
      <c r="D53" s="42"/>
    </row>
    <row r="54" spans="1:10" ht="14.25">
      <c r="A54" s="983" t="s">
        <v>325</v>
      </c>
      <c r="B54" s="984" t="s">
        <v>408</v>
      </c>
      <c r="C54" s="984" t="s">
        <v>764</v>
      </c>
      <c r="D54" s="42"/>
    </row>
    <row r="55" spans="1:10" ht="14.25">
      <c r="A55" s="973"/>
      <c r="B55" s="985"/>
      <c r="C55" s="982" t="s">
        <v>765</v>
      </c>
      <c r="D55" s="42"/>
    </row>
    <row r="56" spans="1:10" ht="14.25">
      <c r="A56" s="973" t="s">
        <v>258</v>
      </c>
      <c r="B56" s="985" t="s">
        <v>259</v>
      </c>
      <c r="C56" s="982"/>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8"/>
  <sheetViews>
    <sheetView view="pageBreakPreview" topLeftCell="A26" zoomScale="85" zoomScaleNormal="50" zoomScaleSheetLayoutView="85" workbookViewId="0">
      <selection activeCell="A4" sqref="D4"/>
    </sheetView>
  </sheetViews>
  <sheetFormatPr defaultRowHeight="12.75"/>
  <cols>
    <col min="1" max="1" width="6.85546875" style="1016" customWidth="1"/>
    <col min="2" max="2" width="57.7109375" style="1015" bestFit="1" customWidth="1"/>
    <col min="3" max="4" width="14.85546875" style="1015" customWidth="1"/>
    <col min="5" max="6" width="14.28515625" style="1015" customWidth="1"/>
    <col min="7" max="7" width="15.28515625" style="1015" bestFit="1" customWidth="1"/>
    <col min="8" max="8" width="9.140625" style="1015"/>
    <col min="9" max="9" width="13.140625" style="1015" bestFit="1" customWidth="1"/>
    <col min="10" max="10" width="15" style="1015" bestFit="1" customWidth="1"/>
    <col min="11" max="11" width="13.5703125" style="1015" bestFit="1" customWidth="1"/>
    <col min="12" max="12" width="9.140625" style="1015"/>
    <col min="13" max="13" width="13.140625" style="1015" bestFit="1" customWidth="1"/>
    <col min="14" max="14" width="15" style="1015" bestFit="1" customWidth="1"/>
    <col min="15" max="15" width="13.5703125" style="1015" bestFit="1" customWidth="1"/>
    <col min="16" max="16" width="9.140625" style="1015"/>
    <col min="17" max="17" width="13.140625" style="1015" bestFit="1" customWidth="1"/>
    <col min="18" max="18" width="15" style="1015" bestFit="1" customWidth="1"/>
    <col min="19" max="19" width="13.5703125" style="1015" bestFit="1" customWidth="1"/>
    <col min="20" max="16384" width="9.140625" style="1015"/>
  </cols>
  <sheetData>
    <row r="1" spans="1:19">
      <c r="A1" s="1041"/>
      <c r="B1" s="1063" t="str">
        <f>TCOS!F9</f>
        <v>AEP Appalachian Transmission Company</v>
      </c>
      <c r="C1" s="1026"/>
      <c r="D1" s="1026"/>
      <c r="E1" s="1026"/>
      <c r="F1" s="1026"/>
      <c r="G1" s="1023"/>
      <c r="H1" s="1023"/>
      <c r="I1" s="1023"/>
      <c r="J1" s="1023"/>
      <c r="K1" s="1023"/>
      <c r="L1" s="1023"/>
      <c r="M1" s="1026"/>
      <c r="N1" s="1026"/>
      <c r="O1" s="1026"/>
      <c r="P1" s="1026"/>
      <c r="Q1" s="1026"/>
      <c r="R1" s="1026"/>
      <c r="S1" s="1023"/>
    </row>
    <row r="2" spans="1:19">
      <c r="A2" s="1041"/>
      <c r="B2" s="1025" t="s">
        <v>640</v>
      </c>
      <c r="C2" s="1026"/>
      <c r="D2" s="1026"/>
      <c r="E2" s="1026"/>
      <c r="F2" s="1026"/>
      <c r="G2" s="1023"/>
      <c r="H2" s="1023"/>
      <c r="I2" s="1023"/>
      <c r="J2" s="1023"/>
      <c r="K2" s="1023"/>
      <c r="L2" s="1023"/>
      <c r="M2" s="1026"/>
      <c r="N2" s="1026"/>
      <c r="O2" s="1026"/>
      <c r="P2" s="1026"/>
      <c r="Q2" s="1026"/>
      <c r="R2" s="1026"/>
      <c r="S2" s="1023"/>
    </row>
    <row r="3" spans="1:19">
      <c r="A3" s="1041"/>
      <c r="B3" s="1025" t="str">
        <f>"PERIOD ENDED DECEMBER 31, "&amp;TCOS!L4</f>
        <v>PERIOD ENDED DECEMBER 31, 2024</v>
      </c>
      <c r="C3" s="1026"/>
      <c r="D3" s="1026"/>
      <c r="E3" s="1026"/>
      <c r="F3" s="1026"/>
      <c r="G3" s="1026"/>
      <c r="H3" s="1026"/>
      <c r="I3" s="1026"/>
      <c r="J3" s="1026"/>
      <c r="K3" s="1026"/>
      <c r="L3" s="1026"/>
      <c r="M3" s="1026"/>
      <c r="N3" s="1026"/>
      <c r="O3" s="1026"/>
      <c r="P3" s="1026"/>
      <c r="Q3" s="1026"/>
      <c r="R3" s="1026"/>
      <c r="S3" s="1026"/>
    </row>
    <row r="4" spans="1:19">
      <c r="A4" s="1041"/>
      <c r="B4" s="1026"/>
      <c r="C4" s="1026"/>
      <c r="D4" s="1026"/>
      <c r="E4" s="1026"/>
      <c r="F4" s="1026"/>
      <c r="G4" s="1024" t="s">
        <v>641</v>
      </c>
      <c r="H4" s="1024"/>
      <c r="I4" s="1024"/>
      <c r="J4" s="1024"/>
      <c r="K4" s="1024"/>
      <c r="L4" s="1024"/>
      <c r="M4" s="1026"/>
      <c r="N4" s="1026"/>
      <c r="O4" s="1026"/>
      <c r="P4" s="1026"/>
      <c r="Q4" s="1026"/>
      <c r="R4" s="1026"/>
      <c r="S4" s="1026"/>
    </row>
    <row r="5" spans="1:19">
      <c r="A5" s="1041"/>
      <c r="B5" s="1027"/>
      <c r="C5" s="1026"/>
      <c r="D5" s="1026"/>
      <c r="E5" s="1026"/>
      <c r="F5" s="1026"/>
      <c r="G5" s="1026"/>
      <c r="H5" s="1026"/>
      <c r="I5" s="1026"/>
      <c r="J5" s="1026"/>
      <c r="K5" s="1026"/>
      <c r="L5" s="1026"/>
      <c r="M5" s="1026"/>
      <c r="N5" s="1026"/>
      <c r="O5" s="1026"/>
      <c r="P5" s="1026"/>
      <c r="Q5" s="1026"/>
      <c r="R5" s="1026"/>
      <c r="S5" s="1026"/>
    </row>
    <row r="6" spans="1:19">
      <c r="A6" s="1041"/>
      <c r="B6" s="1026"/>
      <c r="C6" s="1026"/>
      <c r="D6" s="1026"/>
      <c r="E6" s="1026"/>
      <c r="F6" s="1026"/>
      <c r="G6" s="1026"/>
      <c r="H6" s="1026"/>
      <c r="I6" s="1026"/>
      <c r="J6" s="1026"/>
      <c r="K6" s="1026"/>
      <c r="L6" s="1026"/>
      <c r="M6" s="1026"/>
      <c r="N6" s="1026"/>
      <c r="O6" s="1026"/>
      <c r="P6" s="1026"/>
      <c r="Q6" s="1026"/>
      <c r="R6" s="1026"/>
      <c r="S6" s="1026"/>
    </row>
    <row r="7" spans="1:19">
      <c r="A7" s="1041"/>
      <c r="B7" s="1026"/>
      <c r="C7" s="1026"/>
      <c r="D7" s="1026"/>
      <c r="E7" s="1026"/>
      <c r="F7" s="1026"/>
      <c r="G7" s="1026"/>
      <c r="H7" s="1026"/>
      <c r="I7" s="1026"/>
      <c r="J7" s="1026"/>
      <c r="K7" s="1026"/>
      <c r="L7" s="1026"/>
      <c r="M7" s="1026"/>
      <c r="N7" s="1026"/>
      <c r="O7" s="1026"/>
      <c r="P7" s="1026"/>
      <c r="Q7" s="1026"/>
      <c r="R7" s="1026"/>
      <c r="S7" s="1026"/>
    </row>
    <row r="8" spans="1:19">
      <c r="A8" s="1041"/>
      <c r="B8" s="1028" t="s">
        <v>642</v>
      </c>
      <c r="C8" s="1028" t="s">
        <v>643</v>
      </c>
      <c r="D8" s="1028" t="s">
        <v>644</v>
      </c>
      <c r="E8" s="1028" t="s">
        <v>645</v>
      </c>
      <c r="F8" s="1028" t="s">
        <v>646</v>
      </c>
      <c r="G8" s="1028" t="s">
        <v>647</v>
      </c>
      <c r="H8" s="1028"/>
      <c r="I8" s="1028" t="s">
        <v>648</v>
      </c>
      <c r="J8" s="1028" t="s">
        <v>649</v>
      </c>
      <c r="K8" s="1028" t="s">
        <v>650</v>
      </c>
      <c r="L8" s="1028"/>
      <c r="M8" s="1028" t="s">
        <v>651</v>
      </c>
      <c r="N8" s="1028" t="s">
        <v>652</v>
      </c>
      <c r="O8" s="1028" t="s">
        <v>653</v>
      </c>
      <c r="P8" s="1026"/>
      <c r="Q8" s="1028" t="s">
        <v>654</v>
      </c>
      <c r="R8" s="1028" t="s">
        <v>655</v>
      </c>
      <c r="S8" s="1028" t="s">
        <v>656</v>
      </c>
    </row>
    <row r="9" spans="1:19">
      <c r="A9" s="1041"/>
      <c r="B9" s="1026"/>
      <c r="C9" s="1026"/>
      <c r="D9" s="1026"/>
      <c r="E9" s="1026"/>
      <c r="F9" s="1026"/>
      <c r="G9" s="1026"/>
      <c r="H9" s="1026"/>
      <c r="I9" s="1026"/>
      <c r="J9" s="1026"/>
      <c r="K9" s="1026"/>
      <c r="L9" s="1026"/>
      <c r="M9" s="1026"/>
      <c r="N9" s="1026"/>
      <c r="O9" s="1026"/>
      <c r="P9" s="1026"/>
      <c r="Q9" s="1026"/>
      <c r="R9" s="1026"/>
      <c r="S9" s="1026"/>
    </row>
    <row r="10" spans="1:19">
      <c r="A10" s="1041"/>
      <c r="B10" s="1026"/>
      <c r="C10" s="1029" t="s">
        <v>657</v>
      </c>
      <c r="D10" s="1029"/>
      <c r="E10" s="1030" t="s">
        <v>658</v>
      </c>
      <c r="F10" s="1029"/>
      <c r="G10" s="1017" t="s">
        <v>659</v>
      </c>
      <c r="H10" s="1017"/>
      <c r="I10" s="1031" t="s">
        <v>660</v>
      </c>
      <c r="J10" s="1029"/>
      <c r="K10" s="1029"/>
      <c r="L10" s="1017"/>
      <c r="M10" s="1031" t="str">
        <f>"FUNCTIONALIZATION 12/31/"&amp;TCOS!L4-1</f>
        <v>FUNCTIONALIZATION 12/31/2023</v>
      </c>
      <c r="N10" s="1029"/>
      <c r="O10" s="1029"/>
      <c r="P10" s="1026"/>
      <c r="Q10" s="1031" t="str">
        <f>"FUNCTIONALIZATION 12/31/"&amp;TCOS!L4</f>
        <v>FUNCTIONALIZATION 12/31/2024</v>
      </c>
      <c r="R10" s="1029"/>
      <c r="S10" s="1029"/>
    </row>
    <row r="11" spans="1:19">
      <c r="A11" s="1041"/>
      <c r="B11" s="1026"/>
      <c r="C11" s="1032"/>
      <c r="D11" s="1032"/>
      <c r="E11" s="1026"/>
      <c r="F11" s="1026"/>
      <c r="G11" s="1017" t="s">
        <v>661</v>
      </c>
      <c r="H11" s="1017"/>
      <c r="I11" s="1032"/>
      <c r="J11" s="1032"/>
      <c r="K11" s="1032"/>
      <c r="L11" s="1017"/>
      <c r="M11" s="1032"/>
      <c r="N11" s="1032"/>
      <c r="O11" s="1032"/>
      <c r="P11" s="1026"/>
      <c r="Q11" s="1032"/>
      <c r="R11" s="1032"/>
      <c r="S11" s="1032"/>
    </row>
    <row r="12" spans="1:19" s="1058" customFormat="1">
      <c r="A12" s="1059"/>
      <c r="B12" s="1057"/>
      <c r="C12" s="1060" t="s">
        <v>662</v>
      </c>
      <c r="D12" s="1060" t="s">
        <v>662</v>
      </c>
      <c r="E12" s="1060" t="s">
        <v>662</v>
      </c>
      <c r="F12" s="1060" t="s">
        <v>662</v>
      </c>
      <c r="G12" s="1060" t="s">
        <v>663</v>
      </c>
      <c r="H12" s="1060"/>
      <c r="I12" s="1057"/>
      <c r="J12" s="1057"/>
      <c r="K12" s="1057"/>
      <c r="L12" s="1060"/>
      <c r="M12" s="1057"/>
      <c r="N12" s="1057"/>
      <c r="O12" s="1057"/>
      <c r="P12" s="1057"/>
      <c r="Q12" s="1057"/>
      <c r="R12" s="1057"/>
      <c r="S12" s="1057"/>
    </row>
    <row r="13" spans="1:19" s="1058" customFormat="1">
      <c r="A13" s="1059"/>
      <c r="B13" s="1061" t="s">
        <v>664</v>
      </c>
      <c r="C13" s="1061" t="str">
        <f>"OF 12-31-"&amp;TCOS!L4-1</f>
        <v>OF 12-31-2023</v>
      </c>
      <c r="D13" s="1061" t="str">
        <f>"OF 12-31-"&amp;TCOS!L4</f>
        <v>OF 12-31-2024</v>
      </c>
      <c r="E13" s="1061" t="str">
        <f>"OF 12-31-"&amp;TCOS!L4-1</f>
        <v>OF 12-31-2023</v>
      </c>
      <c r="F13" s="1061" t="str">
        <f>"OF 12-31-"&amp;TCOS!L4</f>
        <v>OF 12-31-2024</v>
      </c>
      <c r="G13" s="1061" t="s">
        <v>665</v>
      </c>
      <c r="H13" s="1061"/>
      <c r="I13" s="1061" t="s">
        <v>666</v>
      </c>
      <c r="J13" s="1061" t="s">
        <v>667</v>
      </c>
      <c r="K13" s="1061" t="s">
        <v>668</v>
      </c>
      <c r="L13" s="1061"/>
      <c r="M13" s="1061" t="s">
        <v>666</v>
      </c>
      <c r="N13" s="1061" t="s">
        <v>667</v>
      </c>
      <c r="O13" s="1061" t="s">
        <v>668</v>
      </c>
      <c r="P13" s="1057"/>
      <c r="Q13" s="1061" t="s">
        <v>666</v>
      </c>
      <c r="R13" s="1061" t="s">
        <v>667</v>
      </c>
      <c r="S13" s="1061" t="s">
        <v>668</v>
      </c>
    </row>
    <row r="14" spans="1:19">
      <c r="A14" s="1041"/>
      <c r="B14" s="1026"/>
      <c r="C14" s="1026"/>
      <c r="D14" s="1026"/>
      <c r="E14" s="1026"/>
      <c r="F14" s="1026"/>
      <c r="G14" s="1026"/>
      <c r="H14" s="1026"/>
      <c r="I14" s="1026"/>
      <c r="J14" s="1026"/>
      <c r="K14" s="1026"/>
      <c r="L14" s="1026"/>
      <c r="M14" s="1026"/>
      <c r="N14" s="1026"/>
      <c r="O14" s="1026"/>
      <c r="P14" s="1026"/>
      <c r="Q14" s="1026"/>
      <c r="R14" s="1026"/>
      <c r="S14" s="1026"/>
    </row>
    <row r="15" spans="1:19">
      <c r="A15" s="1056">
        <v>1</v>
      </c>
      <c r="B15" s="1022" t="s">
        <v>669</v>
      </c>
      <c r="C15" s="1034"/>
      <c r="D15" s="1034"/>
      <c r="E15" s="1034"/>
      <c r="F15" s="1035"/>
      <c r="G15" s="1034"/>
      <c r="H15" s="1034"/>
      <c r="I15" s="1034"/>
      <c r="J15" s="1034"/>
      <c r="K15" s="1034"/>
      <c r="L15" s="1034"/>
      <c r="M15" s="1034"/>
      <c r="N15" s="1034"/>
      <c r="O15" s="1034"/>
      <c r="P15" s="1034"/>
      <c r="Q15" s="1034"/>
      <c r="R15" s="1034"/>
      <c r="S15" s="1034"/>
    </row>
    <row r="16" spans="1:19">
      <c r="A16" s="1056">
        <v>2.0099999999999998</v>
      </c>
      <c r="B16" s="1022"/>
      <c r="C16" s="1034"/>
      <c r="D16" s="1034"/>
      <c r="E16" s="1034"/>
      <c r="F16" s="1034"/>
      <c r="G16" s="1034"/>
      <c r="H16" s="1034"/>
      <c r="I16" s="1034"/>
      <c r="J16" s="1034"/>
      <c r="K16" s="1034"/>
      <c r="L16" s="1034"/>
      <c r="M16" s="1034"/>
      <c r="N16" s="1034"/>
      <c r="O16" s="1034"/>
      <c r="P16" s="1034"/>
      <c r="Q16" s="1034"/>
      <c r="R16" s="1034"/>
      <c r="S16" s="1034"/>
    </row>
    <row r="17" spans="1:19">
      <c r="A17" s="1056">
        <v>2.02</v>
      </c>
      <c r="B17" s="1022" t="s">
        <v>865</v>
      </c>
      <c r="C17" s="1034">
        <f>SUM(M17:O17)</f>
        <v>0</v>
      </c>
      <c r="D17" s="1034">
        <f>SUM(Q17:S17)</f>
        <v>0</v>
      </c>
      <c r="E17" s="1034"/>
      <c r="F17" s="1034"/>
      <c r="G17" s="1034">
        <f>ROUND(SUM(C17:F17)/2,0)</f>
        <v>0</v>
      </c>
      <c r="H17" s="1034"/>
      <c r="I17" s="1034">
        <f>(M17+Q17)/2</f>
        <v>0</v>
      </c>
      <c r="J17" s="1034">
        <f>(N17+R17)/2</f>
        <v>0</v>
      </c>
      <c r="K17" s="1034">
        <f>(O17+S17)/2</f>
        <v>0</v>
      </c>
      <c r="L17" s="1034"/>
      <c r="M17" s="1022"/>
      <c r="N17" s="1022"/>
      <c r="O17" s="1022"/>
      <c r="P17" s="1034"/>
      <c r="Q17" s="1022"/>
      <c r="R17" s="1022"/>
      <c r="S17" s="1022"/>
    </row>
    <row r="18" spans="1:19">
      <c r="A18" s="1056">
        <v>2.0299999999999998</v>
      </c>
      <c r="B18" s="1022"/>
      <c r="C18" s="1034"/>
      <c r="D18" s="1034"/>
      <c r="E18" s="1034"/>
      <c r="F18" s="1034"/>
      <c r="G18" s="1034"/>
      <c r="H18" s="1034"/>
      <c r="I18" s="1034"/>
      <c r="J18" s="1034"/>
      <c r="K18" s="1034"/>
      <c r="L18" s="1034"/>
      <c r="M18" s="1034"/>
      <c r="N18" s="1034"/>
      <c r="O18" s="1034"/>
      <c r="P18" s="1034"/>
      <c r="Q18" s="1034"/>
      <c r="R18" s="1034"/>
      <c r="S18" s="1034"/>
    </row>
    <row r="19" spans="1:19">
      <c r="A19" s="1056">
        <v>2.04</v>
      </c>
      <c r="B19" s="1022" t="s">
        <v>866</v>
      </c>
      <c r="C19" s="1034">
        <v>0</v>
      </c>
      <c r="D19" s="1034">
        <v>0</v>
      </c>
      <c r="E19" s="1034">
        <f t="shared" ref="E19:F21" si="0">-C19</f>
        <v>0</v>
      </c>
      <c r="F19" s="1034">
        <f t="shared" si="0"/>
        <v>0</v>
      </c>
      <c r="G19" s="1034">
        <f>ROUND(SUM(C19:F19)/2,0)</f>
        <v>0</v>
      </c>
      <c r="H19" s="1034"/>
      <c r="I19" s="1034"/>
      <c r="J19" s="1034"/>
      <c r="K19" s="1034"/>
      <c r="L19" s="1034"/>
      <c r="M19" s="1034"/>
      <c r="N19" s="1034"/>
      <c r="O19" s="1034"/>
      <c r="P19" s="1034"/>
      <c r="Q19" s="1034"/>
      <c r="R19" s="1034"/>
      <c r="S19" s="1034"/>
    </row>
    <row r="20" spans="1:19">
      <c r="A20" s="1056">
        <v>2.0499999999999998</v>
      </c>
      <c r="B20" s="1022" t="s">
        <v>867</v>
      </c>
      <c r="C20" s="1034">
        <v>0</v>
      </c>
      <c r="D20" s="1034">
        <v>0</v>
      </c>
      <c r="E20" s="1034">
        <f t="shared" si="0"/>
        <v>0</v>
      </c>
      <c r="F20" s="1034">
        <f t="shared" si="0"/>
        <v>0</v>
      </c>
      <c r="G20" s="1034">
        <f>ROUND(SUM(C20:F20)/2,0)</f>
        <v>0</v>
      </c>
      <c r="H20" s="1034"/>
      <c r="I20" s="1034"/>
      <c r="J20" s="1034"/>
      <c r="K20" s="1034"/>
      <c r="L20" s="1034"/>
      <c r="M20" s="1034"/>
      <c r="N20" s="1034"/>
      <c r="O20" s="1034"/>
      <c r="P20" s="1034"/>
      <c r="Q20" s="1034"/>
      <c r="R20" s="1034"/>
      <c r="S20" s="1034"/>
    </row>
    <row r="21" spans="1:19">
      <c r="A21" s="1056">
        <v>2.06</v>
      </c>
      <c r="B21" s="1022" t="s">
        <v>868</v>
      </c>
      <c r="C21" s="1034">
        <v>0</v>
      </c>
      <c r="D21" s="1034">
        <v>0</v>
      </c>
      <c r="E21" s="1034">
        <f t="shared" si="0"/>
        <v>0</v>
      </c>
      <c r="F21" s="1034">
        <f t="shared" si="0"/>
        <v>0</v>
      </c>
      <c r="G21" s="1034">
        <f>ROUND(SUM(C21:F21)/2,0)</f>
        <v>0</v>
      </c>
      <c r="H21" s="1034"/>
      <c r="I21" s="1034"/>
      <c r="J21" s="1034"/>
      <c r="K21" s="1034"/>
      <c r="L21" s="1034"/>
      <c r="M21" s="1034"/>
      <c r="N21" s="1034"/>
      <c r="O21" s="1034"/>
      <c r="P21" s="1034"/>
      <c r="Q21" s="1034"/>
      <c r="R21" s="1034"/>
      <c r="S21" s="1034"/>
    </row>
    <row r="22" spans="1:19">
      <c r="A22" s="1042"/>
      <c r="B22" s="1026"/>
      <c r="C22" s="1034"/>
      <c r="D22" s="1034"/>
      <c r="E22" s="1034"/>
      <c r="F22" s="1034"/>
      <c r="G22" s="1034"/>
      <c r="H22" s="1034"/>
      <c r="I22" s="1034"/>
      <c r="J22" s="1034"/>
      <c r="K22" s="1034"/>
      <c r="L22" s="1034"/>
      <c r="M22" s="1034"/>
      <c r="N22" s="1034"/>
      <c r="O22" s="1034"/>
      <c r="P22" s="1034"/>
      <c r="Q22" s="1034"/>
      <c r="R22" s="1034"/>
      <c r="S22" s="1034"/>
    </row>
    <row r="23" spans="1:19" ht="13.5" thickBot="1">
      <c r="A23" s="1042">
        <v>3</v>
      </c>
      <c r="B23" s="1023" t="s">
        <v>670</v>
      </c>
      <c r="C23" s="1036">
        <f>SUM(C17:C22)</f>
        <v>0</v>
      </c>
      <c r="D23" s="1036">
        <f>SUM(D17:D22)</f>
        <v>0</v>
      </c>
      <c r="E23" s="1036">
        <f>SUM(E17:E22)</f>
        <v>0</v>
      </c>
      <c r="F23" s="1036">
        <f>SUM(F17:F22)</f>
        <v>0</v>
      </c>
      <c r="G23" s="1036">
        <f>SUM(G17:G22)</f>
        <v>0</v>
      </c>
      <c r="H23" s="1034"/>
      <c r="I23" s="1036">
        <f>SUM(I17:I22)</f>
        <v>0</v>
      </c>
      <c r="J23" s="1036">
        <f>SUM(J17:J22)</f>
        <v>0</v>
      </c>
      <c r="K23" s="1036">
        <f>SUM(K17:K22)</f>
        <v>0</v>
      </c>
      <c r="L23" s="1034"/>
      <c r="M23" s="1036">
        <f>SUM(M17:M22)</f>
        <v>0</v>
      </c>
      <c r="N23" s="1036">
        <f>SUM(N17:N22)</f>
        <v>0</v>
      </c>
      <c r="O23" s="1036">
        <f>SUM(O17:O22)</f>
        <v>0</v>
      </c>
      <c r="P23" s="1034"/>
      <c r="Q23" s="1036">
        <f>SUM(Q17:Q22)</f>
        <v>0</v>
      </c>
      <c r="R23" s="1036">
        <f>SUM(R17:R22)</f>
        <v>0</v>
      </c>
      <c r="S23" s="1036">
        <f>SUM(S17:S22)</f>
        <v>0</v>
      </c>
    </row>
    <row r="24" spans="1:19" ht="13.5" thickTop="1">
      <c r="A24" s="1042">
        <f>A23+1</f>
        <v>4</v>
      </c>
      <c r="B24" s="1026" t="s">
        <v>671</v>
      </c>
      <c r="C24" s="1053">
        <v>0</v>
      </c>
      <c r="D24" s="1053">
        <v>0</v>
      </c>
      <c r="E24" s="1053">
        <v>0</v>
      </c>
      <c r="F24" s="1053">
        <v>0</v>
      </c>
      <c r="G24" s="1053">
        <v>0</v>
      </c>
      <c r="H24" s="1054"/>
      <c r="I24" s="1053">
        <v>0</v>
      </c>
      <c r="J24" s="1053">
        <v>0</v>
      </c>
      <c r="K24" s="1053">
        <v>0</v>
      </c>
      <c r="L24" s="1054"/>
      <c r="M24" s="1053">
        <v>0</v>
      </c>
      <c r="N24" s="1053">
        <v>0</v>
      </c>
      <c r="O24" s="1053">
        <v>0</v>
      </c>
      <c r="P24" s="1054"/>
      <c r="Q24" s="1053">
        <v>0</v>
      </c>
      <c r="R24" s="1053">
        <v>0</v>
      </c>
      <c r="S24" s="1053">
        <v>0</v>
      </c>
    </row>
    <row r="25" spans="1:19">
      <c r="A25" s="1042"/>
      <c r="B25" s="1026"/>
      <c r="C25" s="1034"/>
      <c r="D25" s="1034"/>
      <c r="E25" s="1034"/>
      <c r="F25" s="1034"/>
      <c r="G25" s="1034"/>
      <c r="H25" s="1034"/>
      <c r="I25" s="1034"/>
      <c r="J25" s="1034"/>
      <c r="K25" s="1034"/>
      <c r="L25" s="1034"/>
      <c r="M25" s="1034"/>
      <c r="N25" s="1034"/>
      <c r="O25" s="1034"/>
      <c r="P25" s="1034"/>
      <c r="Q25" s="1034"/>
      <c r="R25" s="1034"/>
      <c r="S25" s="1034"/>
    </row>
    <row r="26" spans="1:19">
      <c r="A26" s="1042">
        <v>5</v>
      </c>
      <c r="B26" s="1023" t="s">
        <v>672</v>
      </c>
      <c r="C26" s="1034"/>
      <c r="D26" s="1034"/>
      <c r="E26" s="1034"/>
      <c r="F26" s="1034"/>
      <c r="G26" s="1034"/>
      <c r="H26" s="1034"/>
      <c r="I26" s="1034"/>
      <c r="J26" s="1034"/>
      <c r="K26" s="1034"/>
      <c r="L26" s="1034"/>
      <c r="M26" s="1034"/>
      <c r="N26" s="1034"/>
      <c r="O26" s="1034"/>
      <c r="P26" s="1034"/>
      <c r="Q26" s="1034"/>
      <c r="R26" s="1034"/>
      <c r="S26" s="1034"/>
    </row>
    <row r="27" spans="1:19">
      <c r="A27" s="1055"/>
      <c r="B27" s="1026"/>
      <c r="C27" s="1034"/>
      <c r="D27" s="1034"/>
      <c r="E27" s="1034"/>
      <c r="F27" s="1034"/>
      <c r="G27" s="1034"/>
      <c r="H27" s="1034"/>
      <c r="I27" s="1034"/>
      <c r="J27" s="1034"/>
      <c r="K27" s="1034"/>
      <c r="L27" s="1034"/>
      <c r="M27" s="1034"/>
      <c r="N27" s="1034"/>
      <c r="O27" s="1034"/>
      <c r="P27" s="1034"/>
      <c r="Q27" s="1034"/>
      <c r="R27" s="1034"/>
      <c r="S27" s="1034"/>
    </row>
    <row r="28" spans="1:19">
      <c r="A28" s="1056">
        <v>5.01</v>
      </c>
      <c r="B28" s="1022" t="s">
        <v>835</v>
      </c>
      <c r="C28" s="1034">
        <f t="shared" ref="C28:C39" si="1">SUM(M28:O28)</f>
        <v>0</v>
      </c>
      <c r="D28" s="1034">
        <f t="shared" ref="D28:D39" si="2">SUM(Q28:S28)</f>
        <v>0</v>
      </c>
      <c r="E28" s="1034"/>
      <c r="F28" s="1034"/>
      <c r="G28" s="1034">
        <f>ROUND(SUM(C28:F28)/2,0)</f>
        <v>0</v>
      </c>
      <c r="H28" s="1034"/>
      <c r="I28" s="1034">
        <f>(M28+Q28)/2</f>
        <v>0</v>
      </c>
      <c r="J28" s="1034">
        <f>(N28+R28)/2</f>
        <v>0</v>
      </c>
      <c r="K28" s="1034">
        <f>(O28+S28)/2</f>
        <v>0</v>
      </c>
      <c r="L28" s="1034"/>
      <c r="M28" s="1022"/>
      <c r="N28" s="1022">
        <v>0</v>
      </c>
      <c r="O28" s="1022"/>
      <c r="P28" s="1034"/>
      <c r="Q28" s="1022"/>
      <c r="R28" s="1022">
        <v>0</v>
      </c>
      <c r="S28" s="1022"/>
    </row>
    <row r="29" spans="1:19">
      <c r="A29" s="1056">
        <v>5.0199999999999996</v>
      </c>
      <c r="B29" s="1022" t="s">
        <v>872</v>
      </c>
      <c r="C29" s="1034">
        <f t="shared" ref="C29:C34" si="3">SUM(M29:O29)</f>
        <v>0</v>
      </c>
      <c r="D29" s="1034">
        <f t="shared" ref="D29:D34" si="4">SUM(Q29:S29)</f>
        <v>0</v>
      </c>
      <c r="E29" s="1034"/>
      <c r="F29" s="1034"/>
      <c r="G29" s="1034">
        <f t="shared" ref="G29:G34" si="5">ROUND(SUM(C29:F29)/2,0)</f>
        <v>0</v>
      </c>
      <c r="H29" s="1034"/>
      <c r="I29" s="1034">
        <f t="shared" ref="I29:K33" si="6">(M29+Q29)/2</f>
        <v>0</v>
      </c>
      <c r="J29" s="1034">
        <f t="shared" si="6"/>
        <v>0</v>
      </c>
      <c r="K29" s="1034">
        <f t="shared" si="6"/>
        <v>0</v>
      </c>
      <c r="L29" s="1034"/>
      <c r="M29" s="1022"/>
      <c r="N29" s="1022">
        <v>0</v>
      </c>
      <c r="O29" s="1022"/>
      <c r="P29" s="1034"/>
      <c r="Q29" s="1022"/>
      <c r="R29" s="1022">
        <v>0</v>
      </c>
      <c r="S29" s="1022"/>
    </row>
    <row r="30" spans="1:19">
      <c r="A30" s="1056">
        <v>5.03</v>
      </c>
      <c r="B30" s="1022" t="s">
        <v>836</v>
      </c>
      <c r="C30" s="1034">
        <f t="shared" si="3"/>
        <v>0</v>
      </c>
      <c r="D30" s="1034">
        <f t="shared" si="4"/>
        <v>0</v>
      </c>
      <c r="E30" s="1034"/>
      <c r="F30" s="1034"/>
      <c r="G30" s="1034">
        <f t="shared" si="5"/>
        <v>0</v>
      </c>
      <c r="H30" s="1034"/>
      <c r="I30" s="1034">
        <f t="shared" si="6"/>
        <v>0</v>
      </c>
      <c r="J30" s="1034">
        <f t="shared" si="6"/>
        <v>0</v>
      </c>
      <c r="K30" s="1034">
        <f t="shared" si="6"/>
        <v>0</v>
      </c>
      <c r="L30" s="1034"/>
      <c r="M30" s="1022"/>
      <c r="N30" s="1022">
        <v>0</v>
      </c>
      <c r="O30" s="1022"/>
      <c r="P30" s="1034"/>
      <c r="Q30" s="1022"/>
      <c r="R30" s="1022">
        <v>0</v>
      </c>
      <c r="S30" s="1022"/>
    </row>
    <row r="31" spans="1:19">
      <c r="A31" s="1056">
        <v>5.04</v>
      </c>
      <c r="B31" s="1022" t="s">
        <v>873</v>
      </c>
      <c r="C31" s="1034">
        <f t="shared" si="3"/>
        <v>0</v>
      </c>
      <c r="D31" s="1034">
        <f t="shared" si="4"/>
        <v>0</v>
      </c>
      <c r="E31" s="1034"/>
      <c r="F31" s="1034"/>
      <c r="G31" s="1034">
        <f t="shared" si="5"/>
        <v>0</v>
      </c>
      <c r="H31" s="1034"/>
      <c r="I31" s="1034">
        <f t="shared" si="6"/>
        <v>0</v>
      </c>
      <c r="J31" s="1034">
        <f t="shared" si="6"/>
        <v>0</v>
      </c>
      <c r="K31" s="1034">
        <f t="shared" si="6"/>
        <v>0</v>
      </c>
      <c r="L31" s="1034"/>
      <c r="M31" s="1022"/>
      <c r="N31" s="1022">
        <v>0</v>
      </c>
      <c r="O31" s="1022"/>
      <c r="P31" s="1034"/>
      <c r="Q31" s="1022"/>
      <c r="R31" s="1022">
        <v>0</v>
      </c>
      <c r="S31" s="1022"/>
    </row>
    <row r="32" spans="1:19">
      <c r="A32" s="1056">
        <v>5.05</v>
      </c>
      <c r="B32" s="1022" t="s">
        <v>837</v>
      </c>
      <c r="C32" s="1034">
        <f t="shared" si="3"/>
        <v>0</v>
      </c>
      <c r="D32" s="1034">
        <f t="shared" si="4"/>
        <v>0</v>
      </c>
      <c r="E32" s="1034"/>
      <c r="F32" s="1034"/>
      <c r="G32" s="1034">
        <f t="shared" si="5"/>
        <v>0</v>
      </c>
      <c r="H32" s="1034"/>
      <c r="I32" s="1034">
        <f t="shared" si="6"/>
        <v>0</v>
      </c>
      <c r="J32" s="1034">
        <f t="shared" si="6"/>
        <v>0</v>
      </c>
      <c r="K32" s="1034">
        <f t="shared" si="6"/>
        <v>0</v>
      </c>
      <c r="L32" s="1034"/>
      <c r="M32" s="1062"/>
      <c r="N32" s="1022">
        <v>0</v>
      </c>
      <c r="O32" s="1022"/>
      <c r="P32" s="1034"/>
      <c r="Q32" s="1062"/>
      <c r="R32" s="1022">
        <v>0</v>
      </c>
      <c r="S32" s="1022"/>
    </row>
    <row r="33" spans="1:19">
      <c r="A33" s="1056">
        <v>5.0599999999999996</v>
      </c>
      <c r="B33" s="1022" t="s">
        <v>838</v>
      </c>
      <c r="C33" s="1034">
        <f t="shared" si="3"/>
        <v>0</v>
      </c>
      <c r="D33" s="1034">
        <f t="shared" si="4"/>
        <v>0</v>
      </c>
      <c r="E33" s="1034"/>
      <c r="F33" s="1034"/>
      <c r="G33" s="1034">
        <f t="shared" si="5"/>
        <v>0</v>
      </c>
      <c r="H33" s="1034"/>
      <c r="I33" s="1034">
        <f t="shared" si="6"/>
        <v>0</v>
      </c>
      <c r="J33" s="1034">
        <f t="shared" si="6"/>
        <v>0</v>
      </c>
      <c r="K33" s="1034">
        <f t="shared" si="6"/>
        <v>0</v>
      </c>
      <c r="L33" s="1034"/>
      <c r="M33" s="1022"/>
      <c r="N33" s="1022">
        <v>0</v>
      </c>
      <c r="O33" s="1022"/>
      <c r="P33" s="1034"/>
      <c r="Q33" s="1022"/>
      <c r="R33" s="1022">
        <v>0</v>
      </c>
      <c r="S33" s="1022"/>
    </row>
    <row r="34" spans="1:19">
      <c r="A34" s="1056">
        <v>5.07</v>
      </c>
      <c r="B34" s="1022" t="s">
        <v>941</v>
      </c>
      <c r="C34" s="1034">
        <f t="shared" si="3"/>
        <v>0</v>
      </c>
      <c r="D34" s="1034">
        <f t="shared" si="4"/>
        <v>0</v>
      </c>
      <c r="E34" s="1034"/>
      <c r="F34" s="1034"/>
      <c r="G34" s="1034">
        <f t="shared" si="5"/>
        <v>0</v>
      </c>
      <c r="H34" s="1034"/>
      <c r="I34" s="1034">
        <f t="shared" ref="I34:K48" si="7">(M34+Q34)/2</f>
        <v>0</v>
      </c>
      <c r="J34" s="1034">
        <f t="shared" si="7"/>
        <v>0</v>
      </c>
      <c r="K34" s="1034">
        <f t="shared" si="7"/>
        <v>0</v>
      </c>
      <c r="L34" s="1034"/>
      <c r="M34" s="1022"/>
      <c r="N34" s="1022">
        <v>0</v>
      </c>
      <c r="O34" s="1022"/>
      <c r="P34" s="1034"/>
      <c r="Q34" s="1022"/>
      <c r="R34" s="1022">
        <v>0</v>
      </c>
      <c r="S34" s="1022"/>
    </row>
    <row r="35" spans="1:19">
      <c r="A35" s="1056">
        <v>5.08</v>
      </c>
      <c r="B35" s="1022" t="s">
        <v>839</v>
      </c>
      <c r="C35" s="1034">
        <f t="shared" si="1"/>
        <v>0</v>
      </c>
      <c r="D35" s="1034">
        <f t="shared" si="2"/>
        <v>0</v>
      </c>
      <c r="E35" s="1034"/>
      <c r="F35" s="1034"/>
      <c r="G35" s="1034">
        <f t="shared" ref="G35:G52" si="8">ROUND(SUM(C35:F35)/2,0)</f>
        <v>0</v>
      </c>
      <c r="H35" s="1034"/>
      <c r="I35" s="1034">
        <f t="shared" si="7"/>
        <v>0</v>
      </c>
      <c r="J35" s="1034">
        <f t="shared" si="7"/>
        <v>0</v>
      </c>
      <c r="K35" s="1034">
        <f t="shared" si="7"/>
        <v>0</v>
      </c>
      <c r="L35" s="1034"/>
      <c r="M35" s="1022"/>
      <c r="N35" s="1022">
        <v>0</v>
      </c>
      <c r="O35" s="1022"/>
      <c r="P35" s="1034"/>
      <c r="Q35" s="1022"/>
      <c r="R35" s="1022">
        <v>0</v>
      </c>
      <c r="S35" s="1022"/>
    </row>
    <row r="36" spans="1:19">
      <c r="A36" s="1056">
        <v>5.09</v>
      </c>
      <c r="B36" s="1022" t="s">
        <v>840</v>
      </c>
      <c r="C36" s="1034">
        <f t="shared" si="1"/>
        <v>0</v>
      </c>
      <c r="D36" s="1034">
        <f t="shared" si="2"/>
        <v>0</v>
      </c>
      <c r="E36" s="1034"/>
      <c r="F36" s="1034"/>
      <c r="G36" s="1034">
        <f t="shared" si="8"/>
        <v>0</v>
      </c>
      <c r="H36" s="1034"/>
      <c r="I36" s="1034">
        <f t="shared" si="7"/>
        <v>0</v>
      </c>
      <c r="J36" s="1034">
        <f t="shared" si="7"/>
        <v>0</v>
      </c>
      <c r="K36" s="1034">
        <f t="shared" si="7"/>
        <v>0</v>
      </c>
      <c r="L36" s="1034"/>
      <c r="M36" s="1022"/>
      <c r="N36" s="1022">
        <v>0</v>
      </c>
      <c r="O36" s="1022"/>
      <c r="P36" s="1034"/>
      <c r="Q36" s="1022"/>
      <c r="R36" s="1022">
        <v>0</v>
      </c>
      <c r="S36" s="1022"/>
    </row>
    <row r="37" spans="1:19">
      <c r="A37" s="1056">
        <v>5.0999999999999996</v>
      </c>
      <c r="B37" s="1022" t="s">
        <v>841</v>
      </c>
      <c r="C37" s="1034">
        <f t="shared" si="1"/>
        <v>0</v>
      </c>
      <c r="D37" s="1034">
        <f t="shared" si="2"/>
        <v>0</v>
      </c>
      <c r="E37" s="1034"/>
      <c r="F37" s="1034"/>
      <c r="G37" s="1034">
        <f t="shared" si="8"/>
        <v>0</v>
      </c>
      <c r="H37" s="1034"/>
      <c r="I37" s="1034">
        <f t="shared" si="7"/>
        <v>0</v>
      </c>
      <c r="J37" s="1034">
        <f t="shared" si="7"/>
        <v>0</v>
      </c>
      <c r="K37" s="1034">
        <f t="shared" si="7"/>
        <v>0</v>
      </c>
      <c r="L37" s="1034"/>
      <c r="M37" s="1062"/>
      <c r="N37" s="1022">
        <v>0</v>
      </c>
      <c r="O37" s="1022"/>
      <c r="P37" s="1034"/>
      <c r="Q37" s="1062"/>
      <c r="R37" s="1022">
        <v>0</v>
      </c>
      <c r="S37" s="1022"/>
    </row>
    <row r="38" spans="1:19">
      <c r="A38" s="1056">
        <v>5.1100000000000003</v>
      </c>
      <c r="B38" s="1022" t="s">
        <v>842</v>
      </c>
      <c r="C38" s="1034">
        <f t="shared" si="1"/>
        <v>0</v>
      </c>
      <c r="D38" s="1034">
        <f t="shared" si="2"/>
        <v>0</v>
      </c>
      <c r="E38" s="1034"/>
      <c r="F38" s="1034"/>
      <c r="G38" s="1034">
        <f t="shared" si="8"/>
        <v>0</v>
      </c>
      <c r="H38" s="1034"/>
      <c r="I38" s="1034">
        <f t="shared" si="7"/>
        <v>0</v>
      </c>
      <c r="J38" s="1034">
        <f t="shared" si="7"/>
        <v>0</v>
      </c>
      <c r="K38" s="1034">
        <f t="shared" si="7"/>
        <v>0</v>
      </c>
      <c r="L38" s="1034"/>
      <c r="M38" s="1022"/>
      <c r="N38" s="1022">
        <v>0</v>
      </c>
      <c r="O38" s="1022"/>
      <c r="P38" s="1034"/>
      <c r="Q38" s="1022"/>
      <c r="R38" s="1022">
        <v>0</v>
      </c>
      <c r="S38" s="1022"/>
    </row>
    <row r="39" spans="1:19">
      <c r="A39" s="1056">
        <v>5.12</v>
      </c>
      <c r="B39" s="1022" t="s">
        <v>843</v>
      </c>
      <c r="C39" s="1034">
        <f t="shared" si="1"/>
        <v>0</v>
      </c>
      <c r="D39" s="1034">
        <f t="shared" si="2"/>
        <v>0</v>
      </c>
      <c r="E39" s="1034"/>
      <c r="F39" s="1034"/>
      <c r="G39" s="1034">
        <f t="shared" si="8"/>
        <v>0</v>
      </c>
      <c r="H39" s="1034"/>
      <c r="I39" s="1034">
        <f t="shared" si="7"/>
        <v>0</v>
      </c>
      <c r="J39" s="1034">
        <f t="shared" si="7"/>
        <v>0</v>
      </c>
      <c r="K39" s="1034">
        <f t="shared" si="7"/>
        <v>0</v>
      </c>
      <c r="L39" s="1034"/>
      <c r="M39" s="1022"/>
      <c r="N39" s="1022">
        <v>0</v>
      </c>
      <c r="O39" s="1022"/>
      <c r="P39" s="1034"/>
      <c r="Q39" s="1022"/>
      <c r="R39" s="1022">
        <v>0</v>
      </c>
      <c r="S39" s="1022"/>
    </row>
    <row r="40" spans="1:19">
      <c r="A40" s="1056">
        <v>5.13</v>
      </c>
      <c r="B40" s="1022" t="s">
        <v>1052</v>
      </c>
      <c r="C40" s="1034">
        <f t="shared" ref="C40:C47" si="9">SUM(M40:O40)</f>
        <v>-22242.11</v>
      </c>
      <c r="D40" s="1034">
        <f t="shared" ref="D40:D47" si="10">SUM(Q40:S40)</f>
        <v>-16686.11</v>
      </c>
      <c r="E40" s="1034"/>
      <c r="F40" s="1034"/>
      <c r="G40" s="1034">
        <f t="shared" ref="G40:G47" si="11">ROUND(SUM(C40:F40)/2,0)</f>
        <v>-19464</v>
      </c>
      <c r="H40" s="1034"/>
      <c r="I40" s="1034">
        <f t="shared" ref="I40:I47" si="12">(M40+Q40)/2</f>
        <v>0</v>
      </c>
      <c r="J40" s="1034">
        <f t="shared" ref="J40:J47" si="13">(N40+R40)/2</f>
        <v>-19464.11</v>
      </c>
      <c r="K40" s="1034">
        <f t="shared" ref="K40:K47" si="14">(O40+S40)/2</f>
        <v>0</v>
      </c>
      <c r="L40" s="1034"/>
      <c r="M40" s="1022"/>
      <c r="N40" s="1022">
        <v>-22242.11</v>
      </c>
      <c r="O40" s="1022"/>
      <c r="P40" s="1034"/>
      <c r="Q40" s="1022"/>
      <c r="R40" s="1022">
        <v>-16686.11</v>
      </c>
      <c r="S40" s="1022"/>
    </row>
    <row r="41" spans="1:19">
      <c r="A41" s="1056">
        <v>5.14</v>
      </c>
      <c r="B41" s="1022" t="s">
        <v>1038</v>
      </c>
      <c r="C41" s="1034">
        <f t="shared" si="9"/>
        <v>551791.72</v>
      </c>
      <c r="D41" s="1034">
        <f t="shared" si="10"/>
        <v>706668.24</v>
      </c>
      <c r="E41" s="1034"/>
      <c r="F41" s="1034"/>
      <c r="G41" s="1034">
        <f t="shared" si="11"/>
        <v>629230</v>
      </c>
      <c r="H41" s="1034"/>
      <c r="I41" s="1034">
        <f t="shared" si="12"/>
        <v>0</v>
      </c>
      <c r="J41" s="1034">
        <f t="shared" si="13"/>
        <v>629229.98</v>
      </c>
      <c r="K41" s="1034">
        <f t="shared" si="14"/>
        <v>0</v>
      </c>
      <c r="L41" s="1034"/>
      <c r="M41" s="1022"/>
      <c r="N41" s="1022">
        <v>551791.72</v>
      </c>
      <c r="O41" s="1022"/>
      <c r="P41" s="1034"/>
      <c r="Q41" s="1022"/>
      <c r="R41" s="1022">
        <v>706668.24</v>
      </c>
      <c r="S41" s="1022"/>
    </row>
    <row r="42" spans="1:19">
      <c r="A42" s="1056">
        <v>5.15</v>
      </c>
      <c r="B42" s="1022" t="s">
        <v>1039</v>
      </c>
      <c r="C42" s="1034">
        <f t="shared" si="9"/>
        <v>9070.11</v>
      </c>
      <c r="D42" s="1034">
        <f t="shared" si="10"/>
        <v>1042.6500000000001</v>
      </c>
      <c r="E42" s="1034"/>
      <c r="F42" s="1034"/>
      <c r="G42" s="1034">
        <f t="shared" si="11"/>
        <v>5056</v>
      </c>
      <c r="H42" s="1034"/>
      <c r="I42" s="1034">
        <f t="shared" si="12"/>
        <v>0</v>
      </c>
      <c r="J42" s="1034">
        <f t="shared" si="13"/>
        <v>5056.38</v>
      </c>
      <c r="K42" s="1034">
        <f t="shared" si="14"/>
        <v>0</v>
      </c>
      <c r="L42" s="1034"/>
      <c r="M42" s="1022"/>
      <c r="N42" s="1022">
        <v>9070.11</v>
      </c>
      <c r="O42" s="1022"/>
      <c r="P42" s="1034"/>
      <c r="Q42" s="1022"/>
      <c r="R42" s="1022">
        <v>1042.6500000000001</v>
      </c>
      <c r="S42" s="1022"/>
    </row>
    <row r="43" spans="1:19">
      <c r="A43" s="1056">
        <v>5.16</v>
      </c>
      <c r="B43" s="1022" t="s">
        <v>1040</v>
      </c>
      <c r="C43" s="1034">
        <f t="shared" si="9"/>
        <v>-1042806.38</v>
      </c>
      <c r="D43" s="1034">
        <f t="shared" si="10"/>
        <v>-1177571.6000000001</v>
      </c>
      <c r="E43" s="1034"/>
      <c r="F43" s="1034"/>
      <c r="G43" s="1034">
        <f t="shared" si="11"/>
        <v>-1110189</v>
      </c>
      <c r="H43" s="1034"/>
      <c r="I43" s="1034">
        <f t="shared" si="12"/>
        <v>0</v>
      </c>
      <c r="J43" s="1034">
        <f t="shared" si="13"/>
        <v>-1110188.99</v>
      </c>
      <c r="K43" s="1034">
        <f t="shared" si="14"/>
        <v>0</v>
      </c>
      <c r="L43" s="1034"/>
      <c r="M43" s="1022"/>
      <c r="N43" s="1022">
        <v>-1042806.38</v>
      </c>
      <c r="O43" s="1022"/>
      <c r="P43" s="1034"/>
      <c r="Q43" s="1022"/>
      <c r="R43" s="1022">
        <v>-1177571.6000000001</v>
      </c>
      <c r="S43" s="1022"/>
    </row>
    <row r="44" spans="1:19">
      <c r="A44" s="1056">
        <v>5.17</v>
      </c>
      <c r="B44" s="1022" t="s">
        <v>1041</v>
      </c>
      <c r="C44" s="1034">
        <f t="shared" si="9"/>
        <v>5820596.7999999998</v>
      </c>
      <c r="D44" s="1034">
        <f t="shared" si="10"/>
        <v>7329738.7000000002</v>
      </c>
      <c r="E44" s="1034"/>
      <c r="F44" s="1034"/>
      <c r="G44" s="1034">
        <f t="shared" si="11"/>
        <v>6575168</v>
      </c>
      <c r="H44" s="1034"/>
      <c r="I44" s="1034">
        <f t="shared" si="12"/>
        <v>0</v>
      </c>
      <c r="J44" s="1034">
        <f t="shared" si="13"/>
        <v>6575167.75</v>
      </c>
      <c r="K44" s="1034">
        <f t="shared" si="14"/>
        <v>0</v>
      </c>
      <c r="L44" s="1034"/>
      <c r="M44" s="1022"/>
      <c r="N44" s="1022">
        <v>5820596.7999999998</v>
      </c>
      <c r="O44" s="1022"/>
      <c r="P44" s="1034"/>
      <c r="Q44" s="1022"/>
      <c r="R44" s="1022">
        <v>7329738.7000000002</v>
      </c>
      <c r="S44" s="1022"/>
    </row>
    <row r="45" spans="1:19">
      <c r="A45" s="1056">
        <v>5.18</v>
      </c>
      <c r="B45" s="1022" t="s">
        <v>1042</v>
      </c>
      <c r="C45" s="1034">
        <f t="shared" si="9"/>
        <v>1.47</v>
      </c>
      <c r="D45" s="1034">
        <f t="shared" si="10"/>
        <v>1.47</v>
      </c>
      <c r="E45" s="1034"/>
      <c r="F45" s="1034"/>
      <c r="G45" s="1034">
        <f t="shared" si="11"/>
        <v>1</v>
      </c>
      <c r="H45" s="1034"/>
      <c r="I45" s="1034">
        <f t="shared" si="12"/>
        <v>0</v>
      </c>
      <c r="J45" s="1034">
        <f t="shared" si="13"/>
        <v>1.47</v>
      </c>
      <c r="K45" s="1034">
        <f t="shared" si="14"/>
        <v>0</v>
      </c>
      <c r="L45" s="1034"/>
      <c r="M45" s="1022"/>
      <c r="N45" s="1022">
        <v>1.47</v>
      </c>
      <c r="O45" s="1022"/>
      <c r="P45" s="1034"/>
      <c r="Q45" s="1022"/>
      <c r="R45" s="1022">
        <v>1.47</v>
      </c>
      <c r="S45" s="1022"/>
    </row>
    <row r="46" spans="1:19">
      <c r="A46" s="1056">
        <v>5.19</v>
      </c>
      <c r="B46" s="1022" t="s">
        <v>1043</v>
      </c>
      <c r="C46" s="1034">
        <f t="shared" si="9"/>
        <v>329278.74</v>
      </c>
      <c r="D46" s="1034">
        <f t="shared" si="10"/>
        <v>329278.74</v>
      </c>
      <c r="E46" s="1034"/>
      <c r="F46" s="1034"/>
      <c r="G46" s="1034">
        <f t="shared" si="11"/>
        <v>329279</v>
      </c>
      <c r="H46" s="1034"/>
      <c r="I46" s="1034">
        <f t="shared" si="12"/>
        <v>0</v>
      </c>
      <c r="J46" s="1034">
        <f t="shared" si="13"/>
        <v>329278.74</v>
      </c>
      <c r="K46" s="1034">
        <f t="shared" si="14"/>
        <v>0</v>
      </c>
      <c r="L46" s="1034"/>
      <c r="M46" s="1022"/>
      <c r="N46" s="1022">
        <v>329278.74</v>
      </c>
      <c r="O46" s="1022"/>
      <c r="P46" s="1034"/>
      <c r="Q46" s="1022"/>
      <c r="R46" s="1022">
        <v>329278.74</v>
      </c>
      <c r="S46" s="1022"/>
    </row>
    <row r="47" spans="1:19">
      <c r="A47" s="1056">
        <v>5.2</v>
      </c>
      <c r="B47" s="1022" t="s">
        <v>1044</v>
      </c>
      <c r="C47" s="1034">
        <f t="shared" si="9"/>
        <v>-22237.45</v>
      </c>
      <c r="D47" s="1034">
        <f t="shared" si="10"/>
        <v>-22237.87</v>
      </c>
      <c r="E47" s="1034"/>
      <c r="F47" s="1034"/>
      <c r="G47" s="1034">
        <f t="shared" si="11"/>
        <v>-22238</v>
      </c>
      <c r="H47" s="1034"/>
      <c r="I47" s="1034">
        <f t="shared" si="12"/>
        <v>0</v>
      </c>
      <c r="J47" s="1034">
        <f t="shared" si="13"/>
        <v>-22237.66</v>
      </c>
      <c r="K47" s="1034">
        <f t="shared" si="14"/>
        <v>0</v>
      </c>
      <c r="L47" s="1034"/>
      <c r="M47" s="1022"/>
      <c r="N47" s="1022">
        <v>-22237.45</v>
      </c>
      <c r="O47" s="1022"/>
      <c r="P47" s="1034"/>
      <c r="Q47" s="1022"/>
      <c r="R47" s="1022">
        <v>-22237.87</v>
      </c>
      <c r="S47" s="1022"/>
    </row>
    <row r="48" spans="1:19">
      <c r="A48" s="1056">
        <v>5.21</v>
      </c>
      <c r="B48" s="1390" t="s">
        <v>957</v>
      </c>
      <c r="C48" s="1390">
        <f>SUM(M48:O48)</f>
        <v>0</v>
      </c>
      <c r="D48" s="1390">
        <f>SUM(Q48:S48)</f>
        <v>0</v>
      </c>
      <c r="E48" s="1391"/>
      <c r="F48" s="1391"/>
      <c r="G48" s="1392">
        <f t="shared" si="8"/>
        <v>0</v>
      </c>
      <c r="H48" s="1392"/>
      <c r="I48" s="1392">
        <f t="shared" si="7"/>
        <v>0</v>
      </c>
      <c r="J48" s="1392">
        <f t="shared" si="7"/>
        <v>0</v>
      </c>
      <c r="K48" s="1392">
        <f t="shared" si="7"/>
        <v>0</v>
      </c>
      <c r="L48" s="1034"/>
      <c r="M48" s="1022"/>
      <c r="N48" s="1022"/>
      <c r="O48" s="1022"/>
      <c r="P48" s="1034"/>
      <c r="Q48" s="1022"/>
      <c r="R48" s="1022"/>
      <c r="S48" s="1022"/>
    </row>
    <row r="49" spans="1:19">
      <c r="A49" s="1056">
        <v>5.22</v>
      </c>
      <c r="B49" s="1390" t="s">
        <v>958</v>
      </c>
      <c r="C49" s="1390">
        <f>-E49</f>
        <v>0</v>
      </c>
      <c r="D49" s="1390">
        <f>-F49</f>
        <v>0</v>
      </c>
      <c r="E49" s="1391">
        <f>C48</f>
        <v>0</v>
      </c>
      <c r="F49" s="1391">
        <f>D48</f>
        <v>0</v>
      </c>
      <c r="G49" s="1392">
        <f t="shared" si="8"/>
        <v>0</v>
      </c>
      <c r="H49" s="1392"/>
      <c r="I49" s="1034"/>
      <c r="J49" s="1034"/>
      <c r="K49" s="1034"/>
      <c r="L49" s="1034"/>
      <c r="M49" s="1022"/>
      <c r="N49" s="1022"/>
      <c r="O49" s="1022"/>
      <c r="P49" s="1034"/>
      <c r="Q49" s="1022"/>
      <c r="R49" s="1022"/>
      <c r="S49" s="1022"/>
    </row>
    <row r="50" spans="1:19">
      <c r="A50" s="1056">
        <v>5.23</v>
      </c>
      <c r="B50" s="1022" t="s">
        <v>844</v>
      </c>
      <c r="C50" s="1034">
        <f t="shared" ref="C50:D52" si="15">-E50</f>
        <v>0</v>
      </c>
      <c r="D50" s="1034">
        <f t="shared" si="15"/>
        <v>0</v>
      </c>
      <c r="E50" s="1034">
        <v>0</v>
      </c>
      <c r="F50" s="1034">
        <v>0</v>
      </c>
      <c r="G50" s="1392">
        <f t="shared" si="8"/>
        <v>0</v>
      </c>
      <c r="H50" s="1034"/>
      <c r="I50" s="1034"/>
      <c r="J50" s="1034"/>
      <c r="K50" s="1034"/>
      <c r="L50" s="1034"/>
      <c r="M50" s="1022"/>
      <c r="N50" s="1022"/>
      <c r="O50" s="1022"/>
      <c r="P50" s="1034"/>
      <c r="Q50" s="1022"/>
      <c r="R50" s="1022"/>
      <c r="S50" s="1022"/>
    </row>
    <row r="51" spans="1:19">
      <c r="A51" s="1056">
        <v>5.24</v>
      </c>
      <c r="B51" s="1022" t="s">
        <v>845</v>
      </c>
      <c r="C51" s="1022">
        <f t="shared" si="15"/>
        <v>966133.16</v>
      </c>
      <c r="D51" s="1022">
        <f t="shared" si="15"/>
        <v>984205.96</v>
      </c>
      <c r="E51" s="1034">
        <v>-966133.16</v>
      </c>
      <c r="F51" s="1034">
        <v>-984205.96</v>
      </c>
      <c r="G51" s="1392">
        <f t="shared" si="8"/>
        <v>0</v>
      </c>
      <c r="H51" s="1034"/>
      <c r="I51" s="1034"/>
      <c r="J51" s="1034"/>
      <c r="K51" s="1034"/>
      <c r="L51" s="1034"/>
      <c r="M51" s="1034"/>
      <c r="N51" s="1034"/>
      <c r="O51" s="1034"/>
      <c r="P51" s="1034"/>
      <c r="Q51" s="1034"/>
      <c r="R51" s="1034"/>
      <c r="S51" s="1034"/>
    </row>
    <row r="52" spans="1:19">
      <c r="A52" s="1056">
        <v>5.25</v>
      </c>
      <c r="B52" s="1022" t="s">
        <v>846</v>
      </c>
      <c r="C52" s="1022">
        <f t="shared" si="15"/>
        <v>22242.11</v>
      </c>
      <c r="D52" s="1022">
        <f t="shared" si="15"/>
        <v>16686.11</v>
      </c>
      <c r="E52" s="1034">
        <v>-22242.11</v>
      </c>
      <c r="F52" s="1034">
        <v>-16686.11</v>
      </c>
      <c r="G52" s="1392">
        <f t="shared" si="8"/>
        <v>0</v>
      </c>
      <c r="H52" s="1034"/>
      <c r="I52" s="1034"/>
      <c r="J52" s="1034"/>
      <c r="K52" s="1034"/>
      <c r="L52" s="1034"/>
      <c r="M52" s="1034"/>
      <c r="N52" s="1034"/>
      <c r="O52" s="1034"/>
      <c r="P52" s="1034"/>
      <c r="Q52" s="1034"/>
      <c r="R52" s="1034"/>
      <c r="S52" s="1034"/>
    </row>
    <row r="53" spans="1:19">
      <c r="A53" s="1015"/>
    </row>
    <row r="54" spans="1:19">
      <c r="A54" s="1042"/>
      <c r="B54" s="1026"/>
      <c r="C54" s="1034"/>
      <c r="D54" s="1034"/>
      <c r="E54" s="1034"/>
      <c r="F54" s="1034"/>
      <c r="G54" s="1034"/>
      <c r="H54" s="1034"/>
      <c r="I54" s="1034"/>
      <c r="J54" s="1034"/>
      <c r="K54" s="1034"/>
      <c r="L54" s="1034"/>
      <c r="M54" s="1034"/>
      <c r="N54" s="1034"/>
      <c r="O54" s="1034"/>
      <c r="P54" s="1034"/>
      <c r="Q54" s="1034"/>
      <c r="R54" s="1034"/>
      <c r="S54" s="1034"/>
    </row>
    <row r="55" spans="1:19" ht="13.5" thickBot="1">
      <c r="A55" s="1042">
        <v>6</v>
      </c>
      <c r="B55" s="1023" t="s">
        <v>673</v>
      </c>
      <c r="C55" s="1036">
        <f>SUM(C28:C54)</f>
        <v>6611828.1699999999</v>
      </c>
      <c r="D55" s="1036">
        <f>SUM(D28:D54)</f>
        <v>8151126.29</v>
      </c>
      <c r="E55" s="1036">
        <f>SUM(E28:E54)</f>
        <v>-988375.27</v>
      </c>
      <c r="F55" s="1036">
        <f>SUM(F28:F54)</f>
        <v>-1000892.07</v>
      </c>
      <c r="G55" s="1036">
        <f>SUM(G28:G54)</f>
        <v>6386843</v>
      </c>
      <c r="H55" s="1034"/>
      <c r="I55" s="1036">
        <f>SUM(I28:I54)</f>
        <v>0</v>
      </c>
      <c r="J55" s="1036">
        <f>SUM(J28:J54)</f>
        <v>6386843.5599999996</v>
      </c>
      <c r="K55" s="1036">
        <f>SUM(K28:K54)</f>
        <v>0</v>
      </c>
      <c r="L55" s="1034"/>
      <c r="M55" s="1036">
        <f>SUM(M28:M54)</f>
        <v>0</v>
      </c>
      <c r="N55" s="1036">
        <f>SUM(N28:N54)</f>
        <v>5623452.8999999994</v>
      </c>
      <c r="O55" s="1036">
        <f>SUM(O28:O54)</f>
        <v>0</v>
      </c>
      <c r="P55" s="1034"/>
      <c r="Q55" s="1036">
        <f>SUM(Q28:Q54)</f>
        <v>0</v>
      </c>
      <c r="R55" s="1036">
        <f>SUM(R28:R54)</f>
        <v>7150234.2199999997</v>
      </c>
      <c r="S55" s="1036">
        <f>SUM(S28:S54)</f>
        <v>0</v>
      </c>
    </row>
    <row r="56" spans="1:19" ht="13.5" thickTop="1">
      <c r="A56" s="1042">
        <f>A55+1</f>
        <v>7</v>
      </c>
      <c r="B56" s="1026" t="s">
        <v>674</v>
      </c>
      <c r="C56" s="1037">
        <v>0</v>
      </c>
      <c r="D56" s="1037">
        <v>0</v>
      </c>
      <c r="E56" s="1037">
        <v>0</v>
      </c>
      <c r="F56" s="1037">
        <v>0</v>
      </c>
      <c r="G56" s="1037">
        <v>0</v>
      </c>
      <c r="H56" s="1034"/>
      <c r="I56" s="1037">
        <v>0</v>
      </c>
      <c r="J56" s="1037">
        <v>0</v>
      </c>
      <c r="K56" s="1037">
        <v>0</v>
      </c>
      <c r="L56" s="1037"/>
      <c r="M56" s="1037">
        <v>0</v>
      </c>
      <c r="N56" s="1037">
        <v>0</v>
      </c>
      <c r="O56" s="1037">
        <v>0</v>
      </c>
      <c r="P56" s="1034"/>
      <c r="Q56" s="1037">
        <v>0</v>
      </c>
      <c r="R56" s="1037">
        <v>0</v>
      </c>
      <c r="S56" s="1037">
        <v>0</v>
      </c>
    </row>
    <row r="57" spans="1:19">
      <c r="A57" s="1042"/>
      <c r="B57" s="1023"/>
      <c r="C57" s="1034"/>
      <c r="D57" s="1038"/>
      <c r="E57" s="1034"/>
      <c r="F57" s="1034"/>
      <c r="G57" s="1034"/>
      <c r="H57" s="1034"/>
      <c r="I57" s="1034"/>
      <c r="J57" s="1034"/>
      <c r="K57" s="1034"/>
      <c r="L57" s="1034"/>
      <c r="M57" s="1034"/>
      <c r="N57" s="1034"/>
      <c r="O57" s="1034"/>
      <c r="P57" s="1034"/>
      <c r="Q57" s="1034"/>
      <c r="R57" s="1034"/>
      <c r="S57" s="1034"/>
    </row>
    <row r="58" spans="1:19">
      <c r="A58" s="1042">
        <v>8</v>
      </c>
      <c r="B58" s="1020" t="s">
        <v>675</v>
      </c>
      <c r="C58" s="1034" t="s">
        <v>408</v>
      </c>
      <c r="D58" s="1034"/>
      <c r="E58" s="1034"/>
      <c r="F58" s="1034"/>
      <c r="G58" s="1034"/>
      <c r="H58" s="1034"/>
      <c r="I58" s="1034"/>
      <c r="J58" s="1034"/>
      <c r="K58" s="1034"/>
      <c r="L58" s="1034"/>
      <c r="M58" s="1034"/>
      <c r="N58" s="1034"/>
      <c r="O58" s="1034"/>
      <c r="P58" s="1034"/>
      <c r="Q58" s="1034"/>
      <c r="R58" s="1034"/>
      <c r="S58" s="1034"/>
    </row>
    <row r="59" spans="1:19">
      <c r="A59" s="1042"/>
      <c r="B59" s="1026"/>
      <c r="C59" s="1034"/>
      <c r="D59" s="1034"/>
      <c r="E59" s="1034"/>
      <c r="F59" s="1034"/>
      <c r="G59" s="1034"/>
      <c r="H59" s="1034"/>
      <c r="I59" s="1034"/>
      <c r="J59" s="1034"/>
      <c r="K59" s="1034"/>
      <c r="L59" s="1034"/>
      <c r="M59" s="1034"/>
      <c r="N59" s="1034"/>
      <c r="O59" s="1034"/>
      <c r="P59" s="1034"/>
      <c r="Q59" s="1034"/>
      <c r="R59" s="1034"/>
      <c r="S59" s="1034"/>
    </row>
    <row r="60" spans="1:19">
      <c r="A60" s="1056">
        <v>9.01</v>
      </c>
      <c r="B60" s="1022" t="s">
        <v>847</v>
      </c>
      <c r="C60" s="1034">
        <f>SUM(M60:O60)</f>
        <v>0</v>
      </c>
      <c r="D60" s="1034">
        <f>SUM(Q60:S60)</f>
        <v>0</v>
      </c>
      <c r="E60" s="1034"/>
      <c r="F60" s="1034"/>
      <c r="G60" s="1034">
        <f t="shared" ref="G60:G75" si="16">ROUND(SUM(C60:F60)/2,0)</f>
        <v>0</v>
      </c>
      <c r="H60" s="1034"/>
      <c r="I60" s="1034">
        <f>(M60+Q60)/2</f>
        <v>0</v>
      </c>
      <c r="J60" s="1034">
        <f>(N60+R60)/2</f>
        <v>0</v>
      </c>
      <c r="K60" s="1034">
        <f>(O60+S60)/2</f>
        <v>0</v>
      </c>
      <c r="L60" s="1034"/>
      <c r="M60" s="1022"/>
      <c r="N60" s="1022">
        <v>0</v>
      </c>
      <c r="O60" s="1022"/>
      <c r="P60" s="1034"/>
      <c r="Q60" s="1022"/>
      <c r="R60" s="1022">
        <v>0</v>
      </c>
      <c r="S60" s="1022"/>
    </row>
    <row r="61" spans="1:19">
      <c r="A61" s="1056">
        <f>A60+0.01</f>
        <v>9.02</v>
      </c>
      <c r="B61" s="1022" t="s">
        <v>848</v>
      </c>
      <c r="C61" s="1034">
        <f>SUM(M61:O61)</f>
        <v>0</v>
      </c>
      <c r="D61" s="1034">
        <f>SUM(Q61:S61)</f>
        <v>0</v>
      </c>
      <c r="E61" s="1034"/>
      <c r="F61" s="1034"/>
      <c r="G61" s="1034">
        <f t="shared" si="16"/>
        <v>0</v>
      </c>
      <c r="H61" s="1034"/>
      <c r="I61" s="1034">
        <f t="shared" ref="I61:K69" si="17">(M61+Q61)/2</f>
        <v>0</v>
      </c>
      <c r="J61" s="1034">
        <f t="shared" si="17"/>
        <v>0</v>
      </c>
      <c r="K61" s="1034">
        <f t="shared" si="17"/>
        <v>0</v>
      </c>
      <c r="L61" s="1034"/>
      <c r="M61" s="1022"/>
      <c r="N61" s="1022">
        <v>0</v>
      </c>
      <c r="O61" s="1022"/>
      <c r="P61" s="1034"/>
      <c r="Q61" s="1022"/>
      <c r="R61" s="1022">
        <v>0</v>
      </c>
      <c r="S61" s="1022"/>
    </row>
    <row r="62" spans="1:19">
      <c r="A62" s="1056">
        <f t="shared" ref="A62:A75" si="18">A61+0.01</f>
        <v>9.0299999999999994</v>
      </c>
      <c r="B62" s="1022" t="s">
        <v>843</v>
      </c>
      <c r="C62" s="1034">
        <f>SUM(M62:O62)</f>
        <v>0</v>
      </c>
      <c r="D62" s="1034">
        <f>SUM(Q62:S62)</f>
        <v>0</v>
      </c>
      <c r="E62" s="1034"/>
      <c r="F62" s="1034"/>
      <c r="G62" s="1034">
        <f t="shared" si="16"/>
        <v>0</v>
      </c>
      <c r="H62" s="1034"/>
      <c r="I62" s="1034">
        <f t="shared" si="17"/>
        <v>0</v>
      </c>
      <c r="J62" s="1034">
        <f t="shared" si="17"/>
        <v>0</v>
      </c>
      <c r="K62" s="1034">
        <f t="shared" si="17"/>
        <v>0</v>
      </c>
      <c r="L62" s="1034"/>
      <c r="M62" s="1022"/>
      <c r="N62" s="1022">
        <v>0</v>
      </c>
      <c r="O62" s="1022"/>
      <c r="P62" s="1034"/>
      <c r="Q62" s="1022"/>
      <c r="R62" s="1022">
        <v>0</v>
      </c>
      <c r="S62" s="1022"/>
    </row>
    <row r="63" spans="1:19">
      <c r="A63" s="1056">
        <f t="shared" si="18"/>
        <v>9.0399999999999991</v>
      </c>
      <c r="B63" s="1022" t="s">
        <v>1026</v>
      </c>
      <c r="C63" s="1034">
        <f>SUM(M63:O63)</f>
        <v>0</v>
      </c>
      <c r="D63" s="1034">
        <f>SUM(Q63:S63)</f>
        <v>0</v>
      </c>
      <c r="E63" s="1034"/>
      <c r="F63" s="1034"/>
      <c r="G63" s="1034">
        <f t="shared" si="16"/>
        <v>0</v>
      </c>
      <c r="H63" s="1034"/>
      <c r="I63" s="1034">
        <f t="shared" si="17"/>
        <v>0</v>
      </c>
      <c r="J63" s="1034">
        <f t="shared" si="17"/>
        <v>0</v>
      </c>
      <c r="K63" s="1034">
        <f t="shared" si="17"/>
        <v>0</v>
      </c>
      <c r="L63" s="1034"/>
      <c r="M63" s="1022"/>
      <c r="N63" s="1022">
        <v>0</v>
      </c>
      <c r="O63" s="1022"/>
      <c r="P63" s="1034"/>
      <c r="Q63" s="1022"/>
      <c r="R63" s="1022">
        <v>0</v>
      </c>
      <c r="S63" s="1022"/>
    </row>
    <row r="64" spans="1:19">
      <c r="A64" s="1056">
        <f t="shared" si="18"/>
        <v>9.0499999999999989</v>
      </c>
      <c r="B64" s="1022" t="s">
        <v>1053</v>
      </c>
      <c r="C64" s="1034">
        <f t="shared" ref="C64:C68" si="19">SUM(M64:O64)</f>
        <v>206749.6</v>
      </c>
      <c r="D64" s="1034">
        <f t="shared" ref="D64:D68" si="20">SUM(Q64:S64)</f>
        <v>202213.6</v>
      </c>
      <c r="E64" s="1034"/>
      <c r="F64" s="1034"/>
      <c r="G64" s="1034">
        <f t="shared" ref="G64:G68" si="21">ROUND(SUM(C64:F64)/2,0)</f>
        <v>204482</v>
      </c>
      <c r="H64" s="1034"/>
      <c r="I64" s="1034">
        <f t="shared" ref="I64:I68" si="22">(M64+Q64)/2</f>
        <v>0</v>
      </c>
      <c r="J64" s="1034">
        <f t="shared" ref="J64:J68" si="23">(N64+R64)/2</f>
        <v>204481.6</v>
      </c>
      <c r="K64" s="1034">
        <f t="shared" ref="K64:K68" si="24">(O64+S64)/2</f>
        <v>0</v>
      </c>
      <c r="L64" s="1034"/>
      <c r="M64" s="1022"/>
      <c r="N64" s="1022">
        <v>206749.6</v>
      </c>
      <c r="O64" s="1022"/>
      <c r="P64" s="1034"/>
      <c r="Q64" s="1022"/>
      <c r="R64" s="1022">
        <v>202213.6</v>
      </c>
      <c r="S64" s="1022"/>
    </row>
    <row r="65" spans="1:19">
      <c r="A65" s="1056">
        <f t="shared" si="18"/>
        <v>9.0599999999999987</v>
      </c>
      <c r="B65" s="1022" t="s">
        <v>1054</v>
      </c>
      <c r="C65" s="1034">
        <f t="shared" si="19"/>
        <v>64119.55</v>
      </c>
      <c r="D65" s="1034">
        <f t="shared" si="20"/>
        <v>72692.56</v>
      </c>
      <c r="E65" s="1034"/>
      <c r="F65" s="1034"/>
      <c r="G65" s="1034">
        <f t="shared" si="21"/>
        <v>68406</v>
      </c>
      <c r="H65" s="1034"/>
      <c r="I65" s="1034">
        <f t="shared" si="22"/>
        <v>0</v>
      </c>
      <c r="J65" s="1034">
        <f t="shared" si="23"/>
        <v>68406.054999999993</v>
      </c>
      <c r="K65" s="1034">
        <f t="shared" si="24"/>
        <v>0</v>
      </c>
      <c r="L65" s="1034"/>
      <c r="M65" s="1022"/>
      <c r="N65" s="1022">
        <v>64119.55</v>
      </c>
      <c r="O65" s="1022"/>
      <c r="P65" s="1034"/>
      <c r="Q65" s="1022"/>
      <c r="R65" s="1022">
        <v>72692.56</v>
      </c>
      <c r="S65" s="1022"/>
    </row>
    <row r="66" spans="1:19">
      <c r="A66" s="1056">
        <f t="shared" si="18"/>
        <v>9.0699999999999985</v>
      </c>
      <c r="B66" s="1022" t="s">
        <v>1055</v>
      </c>
      <c r="C66" s="1034">
        <f t="shared" si="19"/>
        <v>172.83</v>
      </c>
      <c r="D66" s="1034">
        <f t="shared" si="20"/>
        <v>198.41</v>
      </c>
      <c r="E66" s="1034"/>
      <c r="F66" s="1034"/>
      <c r="G66" s="1034">
        <f t="shared" si="21"/>
        <v>186</v>
      </c>
      <c r="H66" s="1034"/>
      <c r="I66" s="1034">
        <f t="shared" si="22"/>
        <v>0</v>
      </c>
      <c r="J66" s="1034">
        <f t="shared" si="23"/>
        <v>185.62</v>
      </c>
      <c r="K66" s="1034">
        <f t="shared" si="24"/>
        <v>0</v>
      </c>
      <c r="L66" s="1034"/>
      <c r="M66" s="1022"/>
      <c r="N66" s="1022">
        <v>172.83</v>
      </c>
      <c r="O66" s="1022"/>
      <c r="P66" s="1034"/>
      <c r="Q66" s="1022"/>
      <c r="R66" s="1022">
        <v>198.41</v>
      </c>
      <c r="S66" s="1022"/>
    </row>
    <row r="67" spans="1:19">
      <c r="A67" s="1056">
        <f t="shared" si="18"/>
        <v>9.0799999999999983</v>
      </c>
      <c r="B67" s="1022" t="s">
        <v>1048</v>
      </c>
      <c r="C67" s="1034">
        <f t="shared" si="19"/>
        <v>0</v>
      </c>
      <c r="D67" s="1034">
        <f t="shared" si="20"/>
        <v>-1272.18</v>
      </c>
      <c r="E67" s="1034"/>
      <c r="F67" s="1034"/>
      <c r="G67" s="1034">
        <f t="shared" si="21"/>
        <v>-636</v>
      </c>
      <c r="H67" s="1034"/>
      <c r="I67" s="1034">
        <f t="shared" si="22"/>
        <v>0</v>
      </c>
      <c r="J67" s="1034">
        <f t="shared" si="23"/>
        <v>-636.09</v>
      </c>
      <c r="K67" s="1034">
        <f t="shared" si="24"/>
        <v>0</v>
      </c>
      <c r="L67" s="1034"/>
      <c r="M67" s="1022"/>
      <c r="N67" s="1022">
        <v>0</v>
      </c>
      <c r="O67" s="1022"/>
      <c r="P67" s="1034"/>
      <c r="Q67" s="1022"/>
      <c r="R67" s="1022">
        <v>-1272.18</v>
      </c>
      <c r="S67" s="1022"/>
    </row>
    <row r="68" spans="1:19">
      <c r="A68" s="1056">
        <f t="shared" si="18"/>
        <v>9.0899999999999981</v>
      </c>
      <c r="B68" s="1022" t="s">
        <v>1049</v>
      </c>
      <c r="C68" s="1034">
        <f t="shared" si="19"/>
        <v>9334.08</v>
      </c>
      <c r="D68" s="1034">
        <f t="shared" si="20"/>
        <v>0</v>
      </c>
      <c r="E68" s="1034"/>
      <c r="F68" s="1034"/>
      <c r="G68" s="1034">
        <f t="shared" si="21"/>
        <v>4667</v>
      </c>
      <c r="H68" s="1034"/>
      <c r="I68" s="1034">
        <f t="shared" si="22"/>
        <v>0</v>
      </c>
      <c r="J68" s="1034">
        <f t="shared" si="23"/>
        <v>4667.04</v>
      </c>
      <c r="K68" s="1034">
        <f t="shared" si="24"/>
        <v>0</v>
      </c>
      <c r="L68" s="1034"/>
      <c r="M68" s="1022"/>
      <c r="N68" s="1022">
        <v>9334.08</v>
      </c>
      <c r="O68" s="1022"/>
      <c r="P68" s="1034"/>
      <c r="Q68" s="1022"/>
      <c r="R68" s="1022">
        <v>0</v>
      </c>
      <c r="S68" s="1022"/>
    </row>
    <row r="69" spans="1:19">
      <c r="A69" s="1056">
        <f t="shared" si="18"/>
        <v>9.0999999999999979</v>
      </c>
      <c r="B69" s="1390" t="s">
        <v>957</v>
      </c>
      <c r="C69" s="1390">
        <f>SUM(M69:O69)</f>
        <v>0</v>
      </c>
      <c r="D69" s="1390">
        <f>SUM(Q69:S69)</f>
        <v>0</v>
      </c>
      <c r="E69" s="1391"/>
      <c r="F69" s="1391"/>
      <c r="G69" s="1392">
        <f>ROUND(SUM(C69:F69)/2,0)</f>
        <v>0</v>
      </c>
      <c r="H69" s="1392"/>
      <c r="I69" s="1392">
        <f t="shared" si="17"/>
        <v>0</v>
      </c>
      <c r="J69" s="1392">
        <f t="shared" si="17"/>
        <v>0</v>
      </c>
      <c r="K69" s="1392">
        <f t="shared" si="17"/>
        <v>0</v>
      </c>
      <c r="L69" s="1034"/>
      <c r="M69" s="1022"/>
      <c r="N69" s="1022">
        <v>0</v>
      </c>
      <c r="O69" s="1022"/>
      <c r="P69" s="1034"/>
      <c r="Q69" s="1022"/>
      <c r="R69" s="1022">
        <v>0</v>
      </c>
      <c r="S69" s="1022"/>
    </row>
    <row r="70" spans="1:19">
      <c r="A70" s="1056">
        <f t="shared" si="18"/>
        <v>9.1099999999999977</v>
      </c>
      <c r="B70" s="1390" t="s">
        <v>958</v>
      </c>
      <c r="C70" s="1390">
        <f>-E70</f>
        <v>0</v>
      </c>
      <c r="D70" s="1390">
        <f>-F70</f>
        <v>0</v>
      </c>
      <c r="E70" s="1391">
        <f>C69</f>
        <v>0</v>
      </c>
      <c r="F70" s="1391">
        <f>D69</f>
        <v>0</v>
      </c>
      <c r="G70" s="1392">
        <f>ROUND(SUM(C70:F70)/2,0)</f>
        <v>0</v>
      </c>
      <c r="H70" s="1392"/>
      <c r="I70" s="1392"/>
      <c r="J70" s="1392"/>
      <c r="K70" s="1392"/>
      <c r="L70" s="1034"/>
      <c r="M70" s="1022"/>
      <c r="N70" s="1022"/>
      <c r="O70" s="1022"/>
      <c r="P70" s="1034"/>
      <c r="Q70" s="1022"/>
      <c r="R70" s="1022"/>
      <c r="S70" s="1022"/>
    </row>
    <row r="71" spans="1:19">
      <c r="A71" s="1056">
        <f t="shared" si="18"/>
        <v>9.1199999999999974</v>
      </c>
      <c r="B71" s="1022" t="s">
        <v>849</v>
      </c>
      <c r="C71" s="1022">
        <f t="shared" ref="C71:D75" si="25">-E71</f>
        <v>0</v>
      </c>
      <c r="D71" s="1022">
        <f t="shared" si="25"/>
        <v>0</v>
      </c>
      <c r="E71" s="1034">
        <v>0</v>
      </c>
      <c r="F71" s="1034">
        <v>0</v>
      </c>
      <c r="G71" s="1034">
        <f t="shared" si="16"/>
        <v>0</v>
      </c>
      <c r="H71" s="1034"/>
      <c r="I71" s="1034"/>
      <c r="J71" s="1034"/>
      <c r="K71" s="1034"/>
      <c r="L71" s="1034"/>
      <c r="M71" s="1034"/>
      <c r="N71" s="1034"/>
      <c r="O71" s="1034"/>
      <c r="P71" s="1034"/>
      <c r="Q71" s="1034"/>
      <c r="R71" s="1034"/>
      <c r="S71" s="1034"/>
    </row>
    <row r="72" spans="1:19">
      <c r="A72" s="1056">
        <f t="shared" si="18"/>
        <v>9.1299999999999972</v>
      </c>
      <c r="B72" s="1022" t="s">
        <v>850</v>
      </c>
      <c r="C72" s="1022">
        <f t="shared" si="25"/>
        <v>341814.57</v>
      </c>
      <c r="D72" s="1022">
        <f t="shared" si="25"/>
        <v>348373.99</v>
      </c>
      <c r="E72" s="1034">
        <v>-341814.57</v>
      </c>
      <c r="F72" s="1034">
        <v>-348373.99</v>
      </c>
      <c r="G72" s="1034">
        <f t="shared" si="16"/>
        <v>0</v>
      </c>
      <c r="H72" s="1034"/>
      <c r="I72" s="1034"/>
      <c r="J72" s="1034"/>
      <c r="K72" s="1034"/>
      <c r="L72" s="1034"/>
      <c r="M72" s="1034"/>
      <c r="N72" s="1034"/>
      <c r="O72" s="1034"/>
      <c r="P72" s="1034"/>
      <c r="Q72" s="1034"/>
      <c r="R72" s="1034"/>
      <c r="S72" s="1034"/>
    </row>
    <row r="73" spans="1:19">
      <c r="A73" s="1056">
        <f t="shared" si="18"/>
        <v>9.139999999999997</v>
      </c>
      <c r="B73" s="1022" t="s">
        <v>851</v>
      </c>
      <c r="C73" s="1022">
        <f t="shared" si="25"/>
        <v>-206749.6</v>
      </c>
      <c r="D73" s="1022">
        <f t="shared" si="25"/>
        <v>-202213.6</v>
      </c>
      <c r="E73" s="1034">
        <v>206749.6</v>
      </c>
      <c r="F73" s="1437">
        <v>202213.6</v>
      </c>
      <c r="G73" s="1034">
        <f t="shared" si="16"/>
        <v>0</v>
      </c>
      <c r="H73" s="1034"/>
      <c r="I73" s="1034"/>
      <c r="J73" s="1034"/>
      <c r="K73" s="1034"/>
      <c r="L73" s="1034"/>
      <c r="M73" s="1034"/>
      <c r="N73" s="1034"/>
      <c r="O73" s="1034"/>
      <c r="P73" s="1034"/>
      <c r="Q73" s="1034"/>
      <c r="R73" s="1034"/>
      <c r="S73" s="1034"/>
    </row>
    <row r="74" spans="1:19">
      <c r="A74" s="1056">
        <f t="shared" si="18"/>
        <v>9.1499999999999968</v>
      </c>
      <c r="B74" s="1022" t="s">
        <v>852</v>
      </c>
      <c r="C74" s="1022">
        <f t="shared" si="25"/>
        <v>0</v>
      </c>
      <c r="D74" s="1022">
        <f t="shared" si="25"/>
        <v>0</v>
      </c>
      <c r="E74" s="1034">
        <v>0</v>
      </c>
      <c r="F74" s="1034">
        <v>0</v>
      </c>
      <c r="G74" s="1034">
        <f t="shared" si="16"/>
        <v>0</v>
      </c>
      <c r="H74" s="1034"/>
      <c r="I74" s="1034"/>
      <c r="J74" s="1034"/>
      <c r="K74" s="1034"/>
      <c r="L74" s="1034"/>
      <c r="M74" s="1034"/>
      <c r="N74" s="1034"/>
      <c r="O74" s="1034"/>
      <c r="P74" s="1034"/>
      <c r="Q74" s="1034"/>
      <c r="R74" s="1034"/>
      <c r="S74" s="1034"/>
    </row>
    <row r="75" spans="1:19">
      <c r="A75" s="1056">
        <f t="shared" si="18"/>
        <v>9.1599999999999966</v>
      </c>
      <c r="B75" s="1022" t="s">
        <v>853</v>
      </c>
      <c r="C75" s="1022">
        <f t="shared" si="25"/>
        <v>0</v>
      </c>
      <c r="D75" s="1022">
        <f t="shared" si="25"/>
        <v>0</v>
      </c>
      <c r="E75" s="1034">
        <v>0</v>
      </c>
      <c r="F75" s="1034">
        <v>0</v>
      </c>
      <c r="G75" s="1034">
        <f t="shared" si="16"/>
        <v>0</v>
      </c>
      <c r="H75" s="1034"/>
      <c r="I75" s="1034"/>
      <c r="J75" s="1034"/>
      <c r="K75" s="1034"/>
      <c r="L75" s="1034"/>
      <c r="M75" s="1034"/>
      <c r="N75" s="1034"/>
      <c r="O75" s="1034"/>
      <c r="P75" s="1034"/>
      <c r="Q75" s="1034"/>
      <c r="R75" s="1034"/>
      <c r="S75" s="1034"/>
    </row>
    <row r="76" spans="1:19">
      <c r="A76" s="1042"/>
      <c r="B76" s="1026"/>
      <c r="C76" s="1034"/>
      <c r="D76" s="1034"/>
      <c r="E76" s="1034"/>
      <c r="F76" s="1034"/>
      <c r="G76" s="1034"/>
      <c r="H76" s="1034"/>
      <c r="I76" s="1034"/>
      <c r="J76" s="1034"/>
      <c r="K76" s="1034"/>
      <c r="L76" s="1034"/>
      <c r="M76" s="1034"/>
      <c r="N76" s="1034"/>
      <c r="O76" s="1034"/>
      <c r="P76" s="1034"/>
      <c r="Q76" s="1034"/>
      <c r="R76" s="1034"/>
      <c r="S76" s="1034"/>
    </row>
    <row r="77" spans="1:19">
      <c r="A77" s="1042"/>
      <c r="B77" s="1026"/>
      <c r="C77" s="1034"/>
      <c r="D77" s="1034"/>
      <c r="E77" s="1034"/>
      <c r="F77" s="1034"/>
      <c r="G77" s="1034"/>
      <c r="H77" s="1034"/>
      <c r="I77" s="1034"/>
      <c r="J77" s="1034"/>
      <c r="K77" s="1034"/>
      <c r="L77" s="1034"/>
      <c r="M77" s="1034"/>
      <c r="N77" s="1034"/>
      <c r="O77" s="1034"/>
      <c r="P77" s="1034"/>
      <c r="Q77" s="1034"/>
      <c r="R77" s="1034"/>
      <c r="S77" s="1034"/>
    </row>
    <row r="78" spans="1:19" ht="13.5" thickBot="1">
      <c r="A78" s="1042">
        <v>10</v>
      </c>
      <c r="B78" s="1023"/>
      <c r="C78" s="1036">
        <f>SUM(C60:C77)</f>
        <v>415441.03000000014</v>
      </c>
      <c r="D78" s="1036">
        <f>SUM(D60:D77)</f>
        <v>419992.78</v>
      </c>
      <c r="E78" s="1036">
        <f>SUM(E60:E77)</f>
        <v>-135064.97</v>
      </c>
      <c r="F78" s="1036">
        <f>SUM(F60:F77)</f>
        <v>-146160.38999999998</v>
      </c>
      <c r="G78" s="1036">
        <f>SUM(G60:G77)</f>
        <v>277105</v>
      </c>
      <c r="H78" s="1034"/>
      <c r="I78" s="1036">
        <f>SUM(I60:I77)</f>
        <v>0</v>
      </c>
      <c r="J78" s="1036">
        <f>SUM(J60:J77)</f>
        <v>277104.22499999998</v>
      </c>
      <c r="K78" s="1036">
        <f>SUM(K60:K77)</f>
        <v>0</v>
      </c>
      <c r="L78" s="1034"/>
      <c r="M78" s="1036">
        <f>SUM(M60:M77)</f>
        <v>0</v>
      </c>
      <c r="N78" s="1036">
        <f>SUM(N60:N77)</f>
        <v>280376.06000000006</v>
      </c>
      <c r="O78" s="1036">
        <f>SUM(O60:O77)</f>
        <v>0</v>
      </c>
      <c r="P78" s="1034"/>
      <c r="Q78" s="1036">
        <f>SUM(Q60:Q77)</f>
        <v>0</v>
      </c>
      <c r="R78" s="1036">
        <f>SUM(R60:R77)</f>
        <v>273832.39</v>
      </c>
      <c r="S78" s="1036">
        <f>SUM(S60:S77)</f>
        <v>0</v>
      </c>
    </row>
    <row r="79" spans="1:19" ht="13.5" thickTop="1">
      <c r="A79" s="1042"/>
      <c r="B79" s="1026"/>
      <c r="C79" s="1037"/>
      <c r="D79" s="1037"/>
      <c r="E79" s="1037"/>
      <c r="F79" s="1037"/>
      <c r="G79" s="1037"/>
      <c r="H79" s="1034"/>
      <c r="I79" s="1037"/>
      <c r="J79" s="1037"/>
      <c r="K79" s="1037"/>
      <c r="L79" s="1034"/>
      <c r="M79" s="1037"/>
      <c r="N79" s="1037"/>
      <c r="O79" s="1037"/>
      <c r="P79" s="1034"/>
      <c r="Q79" s="1037"/>
      <c r="R79" s="1037"/>
      <c r="S79" s="1037"/>
    </row>
    <row r="80" spans="1:19">
      <c r="A80" s="1042"/>
      <c r="B80" s="1026"/>
      <c r="C80" s="1034"/>
      <c r="D80" s="1034"/>
      <c r="E80" s="1034"/>
      <c r="F80" s="1034"/>
      <c r="G80" s="1034"/>
      <c r="H80" s="1034"/>
      <c r="I80" s="1034"/>
      <c r="J80" s="1034"/>
      <c r="K80" s="1034"/>
      <c r="L80" s="1034"/>
      <c r="M80" s="1034"/>
      <c r="N80" s="1034"/>
      <c r="O80" s="1034"/>
      <c r="P80" s="1034"/>
      <c r="Q80" s="1034"/>
      <c r="R80" s="1034"/>
      <c r="S80" s="1034"/>
    </row>
    <row r="81" spans="1:19">
      <c r="A81" s="1042">
        <f>+A78+1</f>
        <v>11</v>
      </c>
      <c r="B81" s="1020" t="s">
        <v>676</v>
      </c>
      <c r="C81" s="1034">
        <f>SUM(M81:O81)</f>
        <v>1547611.6</v>
      </c>
      <c r="D81" s="1034">
        <f>SUM(Q81:S81)</f>
        <v>2007357.31</v>
      </c>
      <c r="E81" s="1034"/>
      <c r="F81" s="1034"/>
      <c r="G81" s="1034">
        <f>ROUND(SUM(C81:F81)/2,0)</f>
        <v>1777484</v>
      </c>
      <c r="H81" s="1034"/>
      <c r="I81" s="1034">
        <f>(M81+Q81)/2</f>
        <v>0</v>
      </c>
      <c r="J81" s="1034">
        <f>(N81+R81)/2</f>
        <v>1777484.4550000001</v>
      </c>
      <c r="K81" s="1034">
        <f>(O81+S81)/2</f>
        <v>0</v>
      </c>
      <c r="L81" s="1034"/>
      <c r="M81" s="1022"/>
      <c r="N81" s="1022">
        <v>1547611.6</v>
      </c>
      <c r="O81" s="1022"/>
      <c r="P81" s="1034"/>
      <c r="Q81" s="1022"/>
      <c r="R81" s="1022">
        <v>2007357.31</v>
      </c>
      <c r="S81" s="1022"/>
    </row>
    <row r="82" spans="1:19">
      <c r="A82" s="1064">
        <f>A81+0.01</f>
        <v>11.01</v>
      </c>
      <c r="B82" s="1022" t="s">
        <v>869</v>
      </c>
      <c r="C82" s="1022">
        <f t="shared" ref="C82" si="26">-E82</f>
        <v>404735.08</v>
      </c>
      <c r="D82" s="1022">
        <f t="shared" ref="D82" si="27">-F82</f>
        <v>413093.44</v>
      </c>
      <c r="E82" s="1034">
        <v>-404735.08</v>
      </c>
      <c r="F82" s="1034">
        <v>-413093.44</v>
      </c>
      <c r="G82" s="1034">
        <f>ROUND(SUM(C82:F82)/2,0)</f>
        <v>0</v>
      </c>
      <c r="H82" s="1034"/>
      <c r="I82" s="1034"/>
      <c r="J82" s="1034"/>
      <c r="K82" s="1034"/>
      <c r="L82" s="1034"/>
      <c r="M82" s="1434"/>
      <c r="N82" s="1434"/>
      <c r="O82" s="1434"/>
      <c r="P82" s="1034"/>
      <c r="Q82" s="1434"/>
      <c r="R82" s="1434"/>
      <c r="S82" s="1434"/>
    </row>
    <row r="83" spans="1:19">
      <c r="A83" s="1042"/>
      <c r="B83" s="1026"/>
      <c r="C83" s="1034"/>
      <c r="D83" s="1034"/>
      <c r="E83" s="1034"/>
      <c r="F83" s="1034"/>
      <c r="G83" s="1034"/>
      <c r="H83" s="1034"/>
      <c r="I83" s="1034"/>
      <c r="J83" s="1034"/>
      <c r="K83" s="1034"/>
      <c r="L83" s="1034"/>
      <c r="M83" s="1034"/>
      <c r="N83" s="1034"/>
      <c r="O83" s="1034"/>
      <c r="P83" s="1034"/>
      <c r="Q83" s="1034"/>
      <c r="R83" s="1034"/>
      <c r="S83" s="1034"/>
    </row>
    <row r="84" spans="1:19" ht="13.5" thickBot="1">
      <c r="A84" s="1042">
        <f>+A81+1</f>
        <v>12</v>
      </c>
      <c r="B84" s="1023" t="s">
        <v>677</v>
      </c>
      <c r="C84" s="1036">
        <f>SUM(C78:C83)</f>
        <v>2367787.7100000004</v>
      </c>
      <c r="D84" s="1036">
        <f>SUM(D78:D83)</f>
        <v>2840443.53</v>
      </c>
      <c r="E84" s="1036">
        <f>SUM(E78:E83)</f>
        <v>-539800.05000000005</v>
      </c>
      <c r="F84" s="1036">
        <f>SUM(F78:F83)</f>
        <v>-559253.82999999996</v>
      </c>
      <c r="G84" s="1036">
        <f>SUM(G78:G83)</f>
        <v>2054589</v>
      </c>
      <c r="H84" s="1034"/>
      <c r="I84" s="1036">
        <f>SUM(I78:I83)</f>
        <v>0</v>
      </c>
      <c r="J84" s="1036">
        <f>SUM(J78:J83)</f>
        <v>2054588.6800000002</v>
      </c>
      <c r="K84" s="1036">
        <f>SUM(K78:K83)</f>
        <v>0</v>
      </c>
      <c r="L84" s="1034"/>
      <c r="M84" s="1039">
        <f>SUM(M78:M83)</f>
        <v>0</v>
      </c>
      <c r="N84" s="1039">
        <f>SUM(N78:N83)</f>
        <v>1827987.6600000001</v>
      </c>
      <c r="O84" s="1039">
        <f>SUM(O78:O83)</f>
        <v>0</v>
      </c>
      <c r="P84" s="1034"/>
      <c r="Q84" s="1036">
        <f>SUM(Q78:Q83)</f>
        <v>0</v>
      </c>
      <c r="R84" s="1036">
        <f>SUM(R78:R83)</f>
        <v>2281189.7000000002</v>
      </c>
      <c r="S84" s="1036">
        <f>SUM(S78:S83)</f>
        <v>0</v>
      </c>
    </row>
    <row r="85" spans="1:19" ht="13.5" thickTop="1">
      <c r="A85" s="1042">
        <f>A84+1</f>
        <v>13</v>
      </c>
      <c r="B85" s="1026" t="s">
        <v>678</v>
      </c>
      <c r="C85" s="1037">
        <v>0</v>
      </c>
      <c r="D85" s="1037">
        <v>0</v>
      </c>
      <c r="E85" s="1037">
        <v>0</v>
      </c>
      <c r="F85" s="1037">
        <v>0</v>
      </c>
      <c r="G85" s="1037">
        <v>0</v>
      </c>
      <c r="H85" s="1034"/>
      <c r="I85" s="1037">
        <v>0</v>
      </c>
      <c r="J85" s="1037">
        <v>0</v>
      </c>
      <c r="K85" s="1037">
        <v>0</v>
      </c>
      <c r="L85" s="1034"/>
      <c r="M85" s="1037">
        <v>0</v>
      </c>
      <c r="N85" s="1037">
        <v>0</v>
      </c>
      <c r="O85" s="1037">
        <v>0</v>
      </c>
      <c r="P85" s="1034"/>
      <c r="Q85" s="1037">
        <v>0</v>
      </c>
      <c r="R85" s="1037">
        <v>0</v>
      </c>
      <c r="S85" s="1037">
        <v>0</v>
      </c>
    </row>
    <row r="86" spans="1:19">
      <c r="A86" s="1042"/>
      <c r="B86" s="1026"/>
      <c r="C86" s="1038"/>
      <c r="D86" s="1038"/>
      <c r="E86" s="1034"/>
      <c r="F86" s="1034"/>
      <c r="G86" s="1034"/>
      <c r="H86" s="1034"/>
      <c r="I86" s="1034"/>
      <c r="J86" s="1034"/>
      <c r="K86" s="1034"/>
      <c r="L86" s="1034"/>
      <c r="M86" s="1034"/>
      <c r="N86" s="1034"/>
      <c r="O86" s="1034"/>
      <c r="P86" s="1034"/>
      <c r="Q86" s="1034"/>
      <c r="R86" s="1034"/>
      <c r="S86" s="1034"/>
    </row>
    <row r="87" spans="1:19">
      <c r="A87" s="1042">
        <f>+A85+1</f>
        <v>14</v>
      </c>
      <c r="B87" s="1023" t="s">
        <v>679</v>
      </c>
      <c r="C87" s="1034"/>
      <c r="D87" s="1034"/>
      <c r="E87" s="1034"/>
      <c r="F87" s="1034"/>
      <c r="G87" s="1034"/>
      <c r="H87" s="1034"/>
      <c r="I87" s="1034"/>
      <c r="J87" s="1034"/>
      <c r="K87" s="1034"/>
      <c r="L87" s="1034"/>
      <c r="M87" s="1034"/>
      <c r="N87" s="1034"/>
      <c r="O87" s="1034"/>
      <c r="P87" s="1034"/>
      <c r="Q87" s="1034"/>
      <c r="R87" s="1034"/>
      <c r="S87" s="1034"/>
    </row>
    <row r="88" spans="1:19">
      <c r="A88" s="1042"/>
      <c r="B88" s="1026"/>
      <c r="C88" s="1034"/>
      <c r="D88" s="1034"/>
      <c r="E88" s="1034"/>
      <c r="F88" s="1034"/>
      <c r="G88" s="1034"/>
      <c r="H88" s="1034"/>
      <c r="I88" s="1034"/>
      <c r="J88" s="1034"/>
      <c r="K88" s="1034"/>
      <c r="L88" s="1034"/>
      <c r="M88" s="1034"/>
      <c r="N88" s="1034"/>
      <c r="O88" s="1034"/>
      <c r="P88" s="1034"/>
      <c r="Q88" s="1034"/>
      <c r="R88" s="1034"/>
      <c r="S88" s="1034"/>
    </row>
    <row r="89" spans="1:19">
      <c r="A89" s="1042">
        <f>+A87+1</f>
        <v>15</v>
      </c>
      <c r="B89" s="1023" t="s">
        <v>680</v>
      </c>
      <c r="C89" s="1034"/>
      <c r="D89" s="1034"/>
      <c r="E89" s="1034"/>
      <c r="F89" s="1034"/>
      <c r="G89" s="1034"/>
      <c r="H89" s="1034"/>
      <c r="I89" s="1034"/>
      <c r="J89" s="1034"/>
      <c r="K89" s="1034"/>
      <c r="L89" s="1034"/>
      <c r="M89" s="1034"/>
      <c r="N89" s="1034"/>
      <c r="O89" s="1034"/>
      <c r="P89" s="1034"/>
      <c r="Q89" s="1034"/>
      <c r="R89" s="1034"/>
      <c r="S89" s="1034"/>
    </row>
    <row r="90" spans="1:19">
      <c r="A90" s="1042"/>
      <c r="B90" s="1026"/>
      <c r="C90" s="1034"/>
      <c r="D90" s="1040"/>
      <c r="E90" s="1040"/>
      <c r="F90" s="1040"/>
      <c r="G90" s="1040"/>
      <c r="H90" s="1040"/>
      <c r="I90" s="1040"/>
      <c r="J90" s="1040"/>
      <c r="K90" s="1040"/>
      <c r="L90" s="1040"/>
      <c r="M90" s="1034"/>
      <c r="N90" s="1034"/>
      <c r="O90" s="1034"/>
      <c r="P90" s="1034"/>
      <c r="Q90" s="1034"/>
      <c r="R90" s="1034"/>
      <c r="S90" s="1034"/>
    </row>
    <row r="91" spans="1:19">
      <c r="A91" s="1042">
        <f>+A89+1</f>
        <v>16</v>
      </c>
      <c r="B91" s="1023" t="s">
        <v>681</v>
      </c>
      <c r="C91" s="1034"/>
      <c r="D91" s="1040"/>
      <c r="E91" s="1040"/>
      <c r="F91" s="1040"/>
      <c r="G91" s="1040"/>
      <c r="H91" s="1040"/>
      <c r="I91" s="1040"/>
      <c r="J91" s="1040"/>
      <c r="K91" s="1040"/>
      <c r="L91" s="1040"/>
      <c r="M91" s="1034"/>
      <c r="N91" s="1034"/>
      <c r="O91" s="1034"/>
      <c r="P91" s="1034"/>
      <c r="Q91" s="1034"/>
      <c r="R91" s="1034"/>
      <c r="S91" s="1034"/>
    </row>
    <row r="92" spans="1:19">
      <c r="A92" s="1042"/>
      <c r="B92" s="1026"/>
      <c r="C92" s="1034"/>
      <c r="D92" s="1034"/>
      <c r="E92" s="1034"/>
      <c r="F92" s="1034"/>
      <c r="G92" s="1034"/>
      <c r="H92" s="1034"/>
      <c r="I92" s="1034"/>
      <c r="J92" s="1034"/>
      <c r="K92" s="1034"/>
      <c r="L92" s="1034"/>
      <c r="M92" s="1034"/>
      <c r="N92" s="1034"/>
      <c r="O92" s="1034"/>
      <c r="P92" s="1034"/>
      <c r="Q92" s="1034"/>
      <c r="R92" s="1034"/>
      <c r="S92" s="1034"/>
    </row>
    <row r="93" spans="1:19">
      <c r="A93" s="1042">
        <f>+A91+1</f>
        <v>17</v>
      </c>
      <c r="B93" s="1020" t="s">
        <v>682</v>
      </c>
      <c r="C93" s="1034"/>
      <c r="D93" s="1034"/>
      <c r="E93" s="1034"/>
      <c r="F93" s="1034"/>
      <c r="G93" s="1034"/>
      <c r="H93" s="1034"/>
      <c r="I93" s="1034"/>
      <c r="J93" s="1034"/>
      <c r="K93" s="1034"/>
      <c r="L93" s="1034"/>
      <c r="M93" s="1034"/>
      <c r="N93" s="1034"/>
      <c r="O93" s="1034"/>
      <c r="P93" s="1034"/>
      <c r="Q93" s="1034"/>
      <c r="R93" s="1034"/>
      <c r="S93" s="1034"/>
    </row>
    <row r="94" spans="1:19">
      <c r="A94" s="1042">
        <f>A93+1</f>
        <v>18</v>
      </c>
      <c r="B94" s="1020" t="s">
        <v>683</v>
      </c>
      <c r="C94" s="1034"/>
      <c r="D94" s="1034"/>
      <c r="E94" s="1034"/>
      <c r="F94" s="1034"/>
      <c r="G94" s="1034"/>
      <c r="H94" s="1034"/>
      <c r="I94" s="1034"/>
      <c r="J94" s="1034"/>
      <c r="K94" s="1034"/>
      <c r="L94" s="1034"/>
      <c r="M94" s="1034"/>
      <c r="N94" s="1034"/>
      <c r="O94" s="1034"/>
      <c r="P94" s="1034"/>
      <c r="Q94" s="1022"/>
      <c r="R94" s="1034"/>
      <c r="S94" s="1034"/>
    </row>
    <row r="95" spans="1:19">
      <c r="A95" s="1064">
        <f>A94+0.01</f>
        <v>18.010000000000002</v>
      </c>
      <c r="B95" s="1022"/>
      <c r="C95" s="1034">
        <f>SUM(M95:O95)</f>
        <v>0</v>
      </c>
      <c r="D95" s="1034">
        <f>SUM(Q95:S95)</f>
        <v>0</v>
      </c>
      <c r="E95" s="1034"/>
      <c r="F95" s="1034"/>
      <c r="G95" s="1034">
        <f>ROUND(SUM(C95:F95)/2,0)</f>
        <v>0</v>
      </c>
      <c r="H95" s="1034"/>
      <c r="I95" s="1034">
        <f t="shared" ref="I95:K96" si="28">(M95+Q95)/2</f>
        <v>0</v>
      </c>
      <c r="J95" s="1034">
        <f t="shared" si="28"/>
        <v>0</v>
      </c>
      <c r="K95" s="1034">
        <f t="shared" si="28"/>
        <v>0</v>
      </c>
      <c r="L95" s="1034"/>
      <c r="M95" s="1022"/>
      <c r="N95" s="1022"/>
      <c r="O95" s="1022"/>
      <c r="P95" s="1034"/>
      <c r="Q95" s="1022"/>
      <c r="R95" s="1022"/>
      <c r="S95" s="1022"/>
    </row>
    <row r="96" spans="1:19">
      <c r="A96" s="1064">
        <f>A95+0.01</f>
        <v>18.020000000000003</v>
      </c>
      <c r="B96" s="1022"/>
      <c r="C96" s="1034">
        <f>SUM(M96:O96)</f>
        <v>0</v>
      </c>
      <c r="D96" s="1034">
        <f>SUM(Q96:S96)</f>
        <v>0</v>
      </c>
      <c r="E96" s="1034"/>
      <c r="F96" s="1034"/>
      <c r="G96" s="1034">
        <f>ROUND(SUM(C96:F96)/2,0)</f>
        <v>0</v>
      </c>
      <c r="H96" s="1034"/>
      <c r="I96" s="1034">
        <f t="shared" si="28"/>
        <v>0</v>
      </c>
      <c r="J96" s="1034">
        <f t="shared" si="28"/>
        <v>0</v>
      </c>
      <c r="K96" s="1034">
        <f t="shared" si="28"/>
        <v>0</v>
      </c>
      <c r="L96" s="1034"/>
      <c r="M96" s="1022"/>
      <c r="N96" s="1022"/>
      <c r="O96" s="1022"/>
      <c r="P96" s="1034"/>
      <c r="Q96" s="1022"/>
      <c r="R96" s="1022"/>
      <c r="S96" s="1022"/>
    </row>
    <row r="97" spans="1:19">
      <c r="A97" s="1042">
        <f>INT(A96)+1</f>
        <v>19</v>
      </c>
      <c r="B97" s="1023"/>
      <c r="C97" s="1034"/>
      <c r="D97" s="1034"/>
      <c r="E97" s="1034"/>
      <c r="F97" s="1034"/>
      <c r="G97" s="1034"/>
      <c r="H97" s="1034"/>
      <c r="I97" s="1034"/>
      <c r="J97" s="1034"/>
      <c r="K97" s="1034"/>
      <c r="L97" s="1034"/>
      <c r="M97" s="1034"/>
      <c r="N97" s="1034"/>
      <c r="O97" s="1034"/>
      <c r="P97" s="1034"/>
      <c r="Q97" s="1034"/>
      <c r="R97" s="1034"/>
      <c r="S97" s="1034"/>
    </row>
    <row r="98" spans="1:19">
      <c r="A98" s="1042">
        <f>A97+1</f>
        <v>20</v>
      </c>
      <c r="B98" s="1020" t="s">
        <v>684</v>
      </c>
      <c r="C98" s="1036">
        <f>SUM(C95:C97)</f>
        <v>0</v>
      </c>
      <c r="D98" s="1036">
        <f>SUM(D95:D97)</f>
        <v>0</v>
      </c>
      <c r="E98" s="1036">
        <f>SUM(E95:E97)</f>
        <v>0</v>
      </c>
      <c r="F98" s="1036">
        <f>SUM(F95:F97)</f>
        <v>0</v>
      </c>
      <c r="G98" s="1036">
        <f>SUM(G95:G97)</f>
        <v>0</v>
      </c>
      <c r="H98" s="1034"/>
      <c r="I98" s="1036">
        <f>SUM(I95:I97)</f>
        <v>0</v>
      </c>
      <c r="J98" s="1036">
        <f>SUM(J95:J97)</f>
        <v>0</v>
      </c>
      <c r="K98" s="1036">
        <f>SUM(K95:K97)</f>
        <v>0</v>
      </c>
      <c r="L98" s="1034"/>
      <c r="M98" s="1036">
        <f>SUM(M95:M97)</f>
        <v>0</v>
      </c>
      <c r="N98" s="1036">
        <f>SUM(N95:N97)</f>
        <v>0</v>
      </c>
      <c r="O98" s="1036">
        <f>SUM(O95:O97)</f>
        <v>0</v>
      </c>
      <c r="P98" s="1034"/>
      <c r="Q98" s="1036">
        <f>SUM(Q95:Q97)</f>
        <v>0</v>
      </c>
      <c r="R98" s="1036">
        <f>SUM(R95:R97)</f>
        <v>0</v>
      </c>
      <c r="S98" s="1036">
        <f>SUM(S95:S97)</f>
        <v>0</v>
      </c>
    </row>
  </sheetData>
  <pageMargins left="0.7" right="0.7" top="0.75" bottom="0.75" header="0.3" footer="0.3"/>
  <pageSetup scale="31" orientation="landscape" r:id="rId1"/>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66"/>
  <sheetViews>
    <sheetView view="pageBreakPreview" topLeftCell="A19" zoomScale="85" zoomScaleNormal="100" zoomScaleSheetLayoutView="85" workbookViewId="0">
      <selection activeCell="A4" sqref="D4"/>
    </sheetView>
  </sheetViews>
  <sheetFormatPr defaultRowHeight="12.75"/>
  <cols>
    <col min="1" max="1" width="6" style="1015" customWidth="1"/>
    <col min="2" max="2" width="54.5703125" style="1015" bestFit="1" customWidth="1"/>
    <col min="3" max="3" width="13.42578125" style="1015" bestFit="1" customWidth="1"/>
    <col min="4" max="4" width="12.85546875" style="1015" bestFit="1" customWidth="1"/>
    <col min="5" max="6" width="17" style="1015" customWidth="1"/>
    <col min="7" max="7" width="15.28515625" style="1015" bestFit="1" customWidth="1"/>
    <col min="8" max="8" width="9.140625" style="1015"/>
    <col min="9" max="9" width="13.140625" style="1015" bestFit="1" customWidth="1"/>
    <col min="10" max="10" width="15" style="1015" bestFit="1" customWidth="1"/>
    <col min="11" max="11" width="13.5703125" style="1015" bestFit="1" customWidth="1"/>
    <col min="12" max="12" width="9.140625" style="1015"/>
    <col min="13" max="13" width="13.140625" style="1015" bestFit="1" customWidth="1"/>
    <col min="14" max="14" width="15" style="1015" bestFit="1" customWidth="1"/>
    <col min="15" max="15" width="13.5703125" style="1015" bestFit="1" customWidth="1"/>
    <col min="16" max="16" width="9.140625" style="1015"/>
    <col min="17" max="17" width="13.140625" style="1015" bestFit="1" customWidth="1"/>
    <col min="18" max="18" width="15" style="1015" bestFit="1" customWidth="1"/>
    <col min="19" max="19" width="13.5703125" style="1015" bestFit="1" customWidth="1"/>
    <col min="20" max="16384" width="9.140625" style="1015"/>
  </cols>
  <sheetData>
    <row r="1" spans="1:19">
      <c r="A1" s="1043"/>
      <c r="B1" s="1063" t="str">
        <f>TCOS!F9</f>
        <v>AEP Appalachian Transmission Company</v>
      </c>
      <c r="C1" s="1044"/>
      <c r="D1" s="1044"/>
      <c r="E1" s="1044"/>
      <c r="F1" s="1026"/>
      <c r="G1" s="1020"/>
      <c r="H1" s="1020"/>
      <c r="I1" s="1020"/>
      <c r="J1" s="1020"/>
      <c r="K1" s="1020"/>
      <c r="L1" s="1020"/>
      <c r="M1" s="1026"/>
      <c r="N1" s="1026"/>
      <c r="O1" s="1020"/>
      <c r="P1" s="1026"/>
      <c r="Q1" s="1026"/>
      <c r="R1" s="1026"/>
      <c r="S1" s="1020"/>
    </row>
    <row r="2" spans="1:19">
      <c r="A2" s="1043"/>
      <c r="B2" s="1025" t="s">
        <v>685</v>
      </c>
      <c r="C2" s="1044"/>
      <c r="D2" s="1044"/>
      <c r="E2" s="1044"/>
      <c r="F2" s="1044"/>
      <c r="G2" s="1019"/>
      <c r="H2" s="1019"/>
      <c r="I2" s="1019"/>
      <c r="J2" s="1019"/>
      <c r="K2" s="1019"/>
      <c r="L2" s="1019"/>
      <c r="M2" s="1026"/>
      <c r="N2" s="1026"/>
      <c r="O2" s="1019"/>
      <c r="P2" s="1026"/>
      <c r="Q2" s="1026"/>
      <c r="R2" s="1026"/>
      <c r="S2" s="1019"/>
    </row>
    <row r="3" spans="1:19">
      <c r="A3" s="1043"/>
      <c r="B3" s="1025" t="str">
        <f>"PERIOD ENDED DECEMBER 31, "&amp;TCOS!L4</f>
        <v>PERIOD ENDED DECEMBER 31, 2024</v>
      </c>
      <c r="C3" s="1044"/>
      <c r="D3" s="1044"/>
      <c r="E3" s="1044"/>
      <c r="F3" s="1044"/>
      <c r="G3" s="1044"/>
      <c r="H3" s="1044"/>
      <c r="I3" s="1044"/>
      <c r="J3" s="1044"/>
      <c r="K3" s="1044"/>
      <c r="L3" s="1044"/>
      <c r="M3" s="1026"/>
      <c r="N3" s="1026"/>
      <c r="O3" s="1026"/>
      <c r="P3" s="1026"/>
      <c r="Q3" s="1026"/>
      <c r="R3" s="1026"/>
      <c r="S3" s="1026"/>
    </row>
    <row r="4" spans="1:19">
      <c r="A4" s="1043"/>
      <c r="B4" s="1033"/>
      <c r="C4" s="1044"/>
      <c r="D4" s="1044"/>
      <c r="E4" s="1044"/>
      <c r="F4" s="1044"/>
      <c r="G4" s="1016" t="s">
        <v>686</v>
      </c>
      <c r="H4" s="1044"/>
      <c r="I4" s="1044"/>
      <c r="J4" s="1044"/>
      <c r="K4" s="1044"/>
      <c r="L4" s="1044"/>
      <c r="M4" s="1026"/>
      <c r="N4" s="1026"/>
      <c r="O4" s="1026"/>
      <c r="P4" s="1026"/>
      <c r="Q4" s="1026"/>
      <c r="R4" s="1026"/>
      <c r="S4" s="1026"/>
    </row>
    <row r="5" spans="1:19">
      <c r="A5" s="1043"/>
      <c r="B5" s="1027"/>
      <c r="C5" s="1044"/>
      <c r="D5" s="1044"/>
      <c r="E5" s="1044"/>
      <c r="F5" s="1044"/>
      <c r="G5" s="1044"/>
      <c r="H5" s="1044"/>
      <c r="I5" s="1044"/>
      <c r="J5" s="1044"/>
      <c r="K5" s="1044"/>
      <c r="L5" s="1044"/>
      <c r="M5" s="1026"/>
      <c r="N5" s="1026"/>
      <c r="O5" s="1026"/>
      <c r="P5" s="1026"/>
      <c r="Q5" s="1026"/>
      <c r="R5" s="1026"/>
      <c r="S5" s="1026"/>
    </row>
    <row r="6" spans="1:19">
      <c r="A6" s="1043"/>
      <c r="B6" s="1026"/>
      <c r="C6" s="1044"/>
      <c r="D6" s="1044"/>
      <c r="E6" s="1044"/>
      <c r="F6" s="1044"/>
      <c r="G6" s="1044"/>
      <c r="H6" s="1016"/>
      <c r="I6" s="1016"/>
      <c r="J6" s="1016"/>
      <c r="K6" s="1016"/>
      <c r="L6" s="1016"/>
      <c r="M6" s="1026"/>
      <c r="N6" s="1026"/>
      <c r="O6" s="1026"/>
      <c r="P6" s="1026"/>
      <c r="Q6" s="1026"/>
      <c r="R6" s="1026"/>
      <c r="S6" s="1026"/>
    </row>
    <row r="7" spans="1:19">
      <c r="A7" s="1043"/>
      <c r="B7" s="1026"/>
      <c r="C7" s="1044"/>
      <c r="D7" s="1044"/>
      <c r="E7" s="1044"/>
      <c r="F7" s="1044"/>
      <c r="G7" s="1044"/>
      <c r="H7" s="1044"/>
      <c r="I7" s="1044"/>
      <c r="J7" s="1044"/>
      <c r="K7" s="1044"/>
      <c r="L7" s="1044"/>
      <c r="M7" s="1026"/>
      <c r="N7" s="1026"/>
      <c r="O7" s="1026"/>
      <c r="P7" s="1026"/>
      <c r="Q7" s="1026"/>
      <c r="R7" s="1026"/>
      <c r="S7" s="1026"/>
    </row>
    <row r="8" spans="1:19">
      <c r="A8" s="1043"/>
      <c r="B8" s="1028" t="s">
        <v>642</v>
      </c>
      <c r="C8" s="1045" t="s">
        <v>643</v>
      </c>
      <c r="D8" s="1045" t="s">
        <v>644</v>
      </c>
      <c r="E8" s="1045" t="s">
        <v>645</v>
      </c>
      <c r="F8" s="1045" t="s">
        <v>646</v>
      </c>
      <c r="G8" s="1045" t="s">
        <v>647</v>
      </c>
      <c r="H8" s="1045"/>
      <c r="I8" s="1045" t="s">
        <v>648</v>
      </c>
      <c r="J8" s="1045" t="s">
        <v>649</v>
      </c>
      <c r="K8" s="1045" t="s">
        <v>650</v>
      </c>
      <c r="L8" s="1045"/>
      <c r="M8" s="1028" t="s">
        <v>651</v>
      </c>
      <c r="N8" s="1028" t="s">
        <v>652</v>
      </c>
      <c r="O8" s="1028" t="s">
        <v>653</v>
      </c>
      <c r="P8" s="1026"/>
      <c r="Q8" s="1028" t="s">
        <v>654</v>
      </c>
      <c r="R8" s="1028" t="s">
        <v>655</v>
      </c>
      <c r="S8" s="1028" t="s">
        <v>656</v>
      </c>
    </row>
    <row r="9" spans="1:19">
      <c r="A9" s="1043"/>
      <c r="B9" s="1026"/>
      <c r="C9" s="1044"/>
      <c r="D9" s="1044"/>
      <c r="E9" s="1044"/>
      <c r="F9" s="1044"/>
      <c r="G9" s="1044"/>
      <c r="H9" s="1044"/>
      <c r="I9" s="1044"/>
      <c r="J9" s="1044"/>
      <c r="K9" s="1044"/>
      <c r="L9" s="1044"/>
      <c r="M9" s="1026"/>
      <c r="N9" s="1026"/>
      <c r="O9" s="1026"/>
      <c r="P9" s="1026"/>
      <c r="Q9" s="1026"/>
      <c r="R9" s="1026"/>
      <c r="S9" s="1026"/>
    </row>
    <row r="10" spans="1:19">
      <c r="A10" s="1043"/>
      <c r="B10" s="1026"/>
      <c r="C10" s="1046" t="s">
        <v>657</v>
      </c>
      <c r="D10" s="1046"/>
      <c r="E10" s="1047" t="s">
        <v>658</v>
      </c>
      <c r="F10" s="1046"/>
      <c r="G10" s="1018" t="s">
        <v>659</v>
      </c>
      <c r="H10" s="1018"/>
      <c r="I10" s="1048" t="s">
        <v>660</v>
      </c>
      <c r="J10" s="1046"/>
      <c r="K10" s="1046"/>
      <c r="L10" s="1018"/>
      <c r="M10" s="1029" t="str">
        <f>"FUNCTIONALIZATION 12/31/"&amp;TCOS!L4-1</f>
        <v>FUNCTIONALIZATION 12/31/2023</v>
      </c>
      <c r="N10" s="1029"/>
      <c r="O10" s="1029"/>
      <c r="P10" s="1026"/>
      <c r="Q10" s="1029" t="str">
        <f>"FUNCTIONALIZATION 12/31/"&amp;TCOS!L4</f>
        <v>FUNCTIONALIZATION 12/31/2024</v>
      </c>
      <c r="R10" s="1029"/>
      <c r="S10" s="1029"/>
    </row>
    <row r="11" spans="1:19">
      <c r="A11" s="1043"/>
      <c r="B11" s="1026"/>
      <c r="C11" s="1049"/>
      <c r="D11" s="1049"/>
      <c r="E11" s="1044"/>
      <c r="F11" s="1044"/>
      <c r="G11" s="1018" t="s">
        <v>661</v>
      </c>
      <c r="H11" s="1018"/>
      <c r="I11" s="1049"/>
      <c r="J11" s="1049"/>
      <c r="K11" s="1049"/>
      <c r="L11" s="1018"/>
      <c r="M11" s="1032"/>
      <c r="N11" s="1032"/>
      <c r="O11" s="1032"/>
      <c r="P11" s="1026"/>
      <c r="Q11" s="1032"/>
      <c r="R11" s="1032"/>
      <c r="S11" s="1032"/>
    </row>
    <row r="12" spans="1:19">
      <c r="A12" s="1043"/>
      <c r="B12" s="1026"/>
      <c r="C12" s="1018" t="s">
        <v>662</v>
      </c>
      <c r="D12" s="1018" t="s">
        <v>662</v>
      </c>
      <c r="E12" s="1018" t="s">
        <v>662</v>
      </c>
      <c r="F12" s="1018" t="s">
        <v>662</v>
      </c>
      <c r="G12" s="1018" t="s">
        <v>663</v>
      </c>
      <c r="H12" s="1018"/>
      <c r="I12" s="1044"/>
      <c r="J12" s="1044"/>
      <c r="K12" s="1044"/>
      <c r="L12" s="1018"/>
      <c r="M12" s="1026"/>
      <c r="N12" s="1026"/>
      <c r="O12" s="1026"/>
      <c r="P12" s="1026"/>
      <c r="Q12" s="1026"/>
      <c r="R12" s="1026"/>
      <c r="S12" s="1026"/>
    </row>
    <row r="13" spans="1:19">
      <c r="A13" s="1043"/>
      <c r="B13" s="1028" t="s">
        <v>664</v>
      </c>
      <c r="C13" s="1045" t="str">
        <f>"OF 12-31-"&amp;TCOS!L4-1</f>
        <v>OF 12-31-2023</v>
      </c>
      <c r="D13" s="1045" t="str">
        <f>"OF 12-31-"&amp;TCOS!L4</f>
        <v>OF 12-31-2024</v>
      </c>
      <c r="E13" s="1045" t="str">
        <f>"OF 12-31-"&amp;TCOS!L4-1</f>
        <v>OF 12-31-2023</v>
      </c>
      <c r="F13" s="1045" t="str">
        <f>"OF 12-31-"&amp;TCOS!L4</f>
        <v>OF 12-31-2024</v>
      </c>
      <c r="G13" s="1045" t="s">
        <v>665</v>
      </c>
      <c r="H13" s="1045"/>
      <c r="I13" s="1045" t="s">
        <v>666</v>
      </c>
      <c r="J13" s="1045" t="s">
        <v>667</v>
      </c>
      <c r="K13" s="1045" t="s">
        <v>668</v>
      </c>
      <c r="L13" s="1045"/>
      <c r="M13" s="1028" t="s">
        <v>666</v>
      </c>
      <c r="N13" s="1028" t="s">
        <v>667</v>
      </c>
      <c r="O13" s="1028" t="s">
        <v>668</v>
      </c>
      <c r="P13" s="1026"/>
      <c r="Q13" s="1028" t="s">
        <v>666</v>
      </c>
      <c r="R13" s="1028" t="s">
        <v>667</v>
      </c>
      <c r="S13" s="1028" t="s">
        <v>668</v>
      </c>
    </row>
    <row r="14" spans="1:19">
      <c r="A14" s="1043"/>
      <c r="B14" s="1026"/>
      <c r="C14" s="1044"/>
      <c r="D14" s="1044"/>
      <c r="E14" s="1044"/>
      <c r="F14" s="1044"/>
      <c r="G14" s="1044"/>
      <c r="H14" s="1044"/>
      <c r="I14" s="1044"/>
      <c r="J14" s="1044"/>
      <c r="K14" s="1044"/>
      <c r="L14" s="1044"/>
      <c r="M14" s="1026"/>
      <c r="N14" s="1026"/>
      <c r="O14" s="1026"/>
      <c r="P14" s="1026"/>
      <c r="Q14" s="1026"/>
      <c r="R14" s="1026"/>
      <c r="S14" s="1026"/>
    </row>
    <row r="15" spans="1:19">
      <c r="A15" s="1050">
        <v>1</v>
      </c>
      <c r="B15" s="1038" t="s">
        <v>687</v>
      </c>
      <c r="C15" s="1034"/>
      <c r="D15" s="1034"/>
      <c r="E15" s="1034"/>
      <c r="F15" s="1035"/>
      <c r="G15" s="1034"/>
      <c r="H15" s="1034"/>
      <c r="I15" s="1034"/>
      <c r="J15" s="1034"/>
      <c r="K15" s="1034"/>
      <c r="L15" s="1034"/>
      <c r="M15" s="1034"/>
      <c r="N15" s="1034"/>
      <c r="O15" s="1034"/>
      <c r="P15" s="1034"/>
      <c r="Q15" s="1034"/>
      <c r="R15" s="1034"/>
      <c r="S15" s="1034"/>
    </row>
    <row r="16" spans="1:19">
      <c r="A16" s="1050"/>
      <c r="B16" s="1034"/>
      <c r="C16" s="1034"/>
      <c r="D16" s="1034"/>
      <c r="E16" s="1034"/>
      <c r="F16" s="1034"/>
      <c r="G16" s="1034"/>
      <c r="H16" s="1034"/>
      <c r="I16" s="1034"/>
      <c r="J16" s="1034"/>
      <c r="K16" s="1034"/>
      <c r="L16" s="1034"/>
      <c r="M16" s="1034"/>
      <c r="N16" s="1034"/>
      <c r="O16" s="1034"/>
      <c r="P16" s="1034"/>
      <c r="Q16" s="1034"/>
      <c r="R16" s="1034"/>
      <c r="S16" s="1034"/>
    </row>
    <row r="17" spans="1:19">
      <c r="A17" s="1056">
        <v>2.0099999999999998</v>
      </c>
      <c r="B17" s="1022" t="s">
        <v>854</v>
      </c>
      <c r="C17" s="1034">
        <f t="shared" ref="C17:C26" si="0">SUM(M17:O17)</f>
        <v>0</v>
      </c>
      <c r="D17" s="1034">
        <f t="shared" ref="D17:D26" si="1">SUM(Q17:S17)</f>
        <v>0</v>
      </c>
      <c r="E17" s="1034"/>
      <c r="F17" s="1034"/>
      <c r="G17" s="1034">
        <f t="shared" ref="G17:G26" si="2">ROUND(SUM(C17:F17)/2,0)</f>
        <v>0</v>
      </c>
      <c r="H17" s="1034"/>
      <c r="I17" s="1034">
        <f t="shared" ref="I17:K54" si="3">(M17+Q17)/2</f>
        <v>0</v>
      </c>
      <c r="J17" s="1034">
        <f t="shared" si="3"/>
        <v>0</v>
      </c>
      <c r="K17" s="1034">
        <f t="shared" si="3"/>
        <v>0</v>
      </c>
      <c r="L17" s="1034"/>
      <c r="M17" s="1022"/>
      <c r="N17" s="1022">
        <v>0</v>
      </c>
      <c r="O17" s="1022"/>
      <c r="P17" s="1034"/>
      <c r="Q17" s="1022"/>
      <c r="R17" s="1022">
        <v>0</v>
      </c>
      <c r="S17" s="1022"/>
    </row>
    <row r="18" spans="1:19">
      <c r="A18" s="1056">
        <f>A17+0.01</f>
        <v>2.0199999999999996</v>
      </c>
      <c r="B18" s="1022" t="s">
        <v>1027</v>
      </c>
      <c r="C18" s="1034">
        <f t="shared" ref="C18:C19" si="4">SUM(M18:O18)</f>
        <v>0</v>
      </c>
      <c r="D18" s="1034">
        <f t="shared" ref="D18:D19" si="5">SUM(Q18:S18)</f>
        <v>0</v>
      </c>
      <c r="E18" s="1034"/>
      <c r="F18" s="1034"/>
      <c r="G18" s="1034">
        <f t="shared" ref="G18:G19" si="6">ROUND(SUM(C18:F18)/2,0)</f>
        <v>0</v>
      </c>
      <c r="H18" s="1034"/>
      <c r="I18" s="1034">
        <f t="shared" ref="I18:I19" si="7">(M18+Q18)/2</f>
        <v>0</v>
      </c>
      <c r="J18" s="1034">
        <f t="shared" ref="J18:J19" si="8">(N18+R18)/2</f>
        <v>0</v>
      </c>
      <c r="K18" s="1034">
        <f t="shared" ref="K18:K19" si="9">(O18+S18)/2</f>
        <v>0</v>
      </c>
      <c r="L18" s="1034"/>
      <c r="M18" s="1022"/>
      <c r="N18" s="1022">
        <v>0</v>
      </c>
      <c r="O18" s="1022"/>
      <c r="P18" s="1034"/>
      <c r="Q18" s="1022"/>
      <c r="R18" s="1022">
        <v>0</v>
      </c>
      <c r="S18" s="1022"/>
    </row>
    <row r="19" spans="1:19">
      <c r="A19" s="1056">
        <f t="shared" ref="A19:A23" si="10">A18+0.01</f>
        <v>2.0299999999999994</v>
      </c>
      <c r="B19" s="1022" t="s">
        <v>1028</v>
      </c>
      <c r="C19" s="1034">
        <f t="shared" si="4"/>
        <v>0</v>
      </c>
      <c r="D19" s="1034">
        <f t="shared" si="5"/>
        <v>0</v>
      </c>
      <c r="E19" s="1034"/>
      <c r="F19" s="1034"/>
      <c r="G19" s="1034">
        <f t="shared" si="6"/>
        <v>0</v>
      </c>
      <c r="H19" s="1034"/>
      <c r="I19" s="1034">
        <f t="shared" si="7"/>
        <v>0</v>
      </c>
      <c r="J19" s="1034">
        <f t="shared" si="8"/>
        <v>0</v>
      </c>
      <c r="K19" s="1034">
        <f t="shared" si="9"/>
        <v>0</v>
      </c>
      <c r="L19" s="1034"/>
      <c r="M19" s="1022"/>
      <c r="N19" s="1022">
        <v>0</v>
      </c>
      <c r="O19" s="1022"/>
      <c r="P19" s="1034"/>
      <c r="Q19" s="1022"/>
      <c r="R19" s="1022">
        <v>0</v>
      </c>
      <c r="S19" s="1022"/>
    </row>
    <row r="20" spans="1:19">
      <c r="A20" s="1056">
        <f t="shared" si="10"/>
        <v>2.0399999999999991</v>
      </c>
      <c r="B20" s="1022" t="s">
        <v>874</v>
      </c>
      <c r="C20" s="1034">
        <f t="shared" si="0"/>
        <v>0</v>
      </c>
      <c r="D20" s="1034">
        <f t="shared" si="1"/>
        <v>0</v>
      </c>
      <c r="E20" s="1034"/>
      <c r="F20" s="1034"/>
      <c r="G20" s="1034">
        <f t="shared" si="2"/>
        <v>0</v>
      </c>
      <c r="H20" s="1034"/>
      <c r="I20" s="1034">
        <f t="shared" si="3"/>
        <v>0</v>
      </c>
      <c r="J20" s="1034">
        <f t="shared" si="3"/>
        <v>0</v>
      </c>
      <c r="K20" s="1034">
        <f t="shared" si="3"/>
        <v>0</v>
      </c>
      <c r="L20" s="1034"/>
      <c r="M20" s="1022"/>
      <c r="N20" s="1022">
        <v>0</v>
      </c>
      <c r="O20" s="1022"/>
      <c r="P20" s="1034"/>
      <c r="Q20" s="1022"/>
      <c r="R20" s="1022">
        <v>0</v>
      </c>
      <c r="S20" s="1022"/>
    </row>
    <row r="21" spans="1:19">
      <c r="A21" s="1056">
        <f t="shared" si="10"/>
        <v>2.0499999999999989</v>
      </c>
      <c r="B21" s="1022" t="s">
        <v>875</v>
      </c>
      <c r="C21" s="1034">
        <f t="shared" si="0"/>
        <v>0</v>
      </c>
      <c r="D21" s="1034">
        <f t="shared" si="1"/>
        <v>0</v>
      </c>
      <c r="E21" s="1034"/>
      <c r="F21" s="1034"/>
      <c r="G21" s="1034">
        <f t="shared" si="2"/>
        <v>0</v>
      </c>
      <c r="H21" s="1034"/>
      <c r="I21" s="1034">
        <f t="shared" si="3"/>
        <v>0</v>
      </c>
      <c r="J21" s="1034">
        <f t="shared" si="3"/>
        <v>0</v>
      </c>
      <c r="K21" s="1034">
        <f t="shared" si="3"/>
        <v>0</v>
      </c>
      <c r="L21" s="1034"/>
      <c r="M21" s="1022"/>
      <c r="N21" s="1022">
        <v>0</v>
      </c>
      <c r="O21" s="1022"/>
      <c r="P21" s="1034"/>
      <c r="Q21" s="1022"/>
      <c r="R21" s="1022">
        <v>0</v>
      </c>
      <c r="S21" s="1022"/>
    </row>
    <row r="22" spans="1:19">
      <c r="A22" s="1056">
        <f t="shared" si="10"/>
        <v>2.0599999999999987</v>
      </c>
      <c r="B22" s="1022" t="s">
        <v>855</v>
      </c>
      <c r="C22" s="1034">
        <f t="shared" si="0"/>
        <v>0</v>
      </c>
      <c r="D22" s="1034">
        <f t="shared" si="1"/>
        <v>0</v>
      </c>
      <c r="E22" s="1034"/>
      <c r="F22" s="1034"/>
      <c r="G22" s="1034">
        <f t="shared" si="2"/>
        <v>0</v>
      </c>
      <c r="H22" s="1034"/>
      <c r="I22" s="1034">
        <f t="shared" si="3"/>
        <v>0</v>
      </c>
      <c r="J22" s="1034">
        <f t="shared" si="3"/>
        <v>0</v>
      </c>
      <c r="K22" s="1034">
        <f t="shared" si="3"/>
        <v>0</v>
      </c>
      <c r="L22" s="1034"/>
      <c r="M22" s="1022"/>
      <c r="N22" s="1022">
        <v>0</v>
      </c>
      <c r="O22" s="1022"/>
      <c r="P22" s="1034"/>
      <c r="Q22" s="1022"/>
      <c r="R22" s="1022">
        <v>0</v>
      </c>
      <c r="S22" s="1022"/>
    </row>
    <row r="23" spans="1:19">
      <c r="A23" s="1056">
        <f t="shared" si="10"/>
        <v>2.0699999999999985</v>
      </c>
      <c r="B23" s="1022" t="s">
        <v>856</v>
      </c>
      <c r="C23" s="1034">
        <f t="shared" si="0"/>
        <v>0</v>
      </c>
      <c r="D23" s="1034">
        <f t="shared" si="1"/>
        <v>0</v>
      </c>
      <c r="E23" s="1034"/>
      <c r="F23" s="1034"/>
      <c r="G23" s="1034">
        <f t="shared" si="2"/>
        <v>0</v>
      </c>
      <c r="H23" s="1034"/>
      <c r="I23" s="1034">
        <f t="shared" si="3"/>
        <v>0</v>
      </c>
      <c r="J23" s="1034">
        <f t="shared" si="3"/>
        <v>0</v>
      </c>
      <c r="K23" s="1034">
        <f t="shared" si="3"/>
        <v>0</v>
      </c>
      <c r="L23" s="1034"/>
      <c r="M23" s="1022"/>
      <c r="N23" s="1022">
        <v>0</v>
      </c>
      <c r="O23" s="1022"/>
      <c r="P23" s="1034"/>
      <c r="Q23" s="1022"/>
      <c r="R23" s="1022">
        <v>0</v>
      </c>
      <c r="S23" s="1022"/>
    </row>
    <row r="24" spans="1:19">
      <c r="A24" s="1056">
        <f t="shared" ref="A24:A62" si="11">A23+0.01</f>
        <v>2.0799999999999983</v>
      </c>
      <c r="B24" s="1022" t="s">
        <v>676</v>
      </c>
      <c r="C24" s="1034">
        <f t="shared" si="0"/>
        <v>0</v>
      </c>
      <c r="D24" s="1034">
        <f t="shared" si="1"/>
        <v>0</v>
      </c>
      <c r="E24" s="1034"/>
      <c r="F24" s="1034"/>
      <c r="G24" s="1034">
        <f t="shared" si="2"/>
        <v>0</v>
      </c>
      <c r="H24" s="1034"/>
      <c r="I24" s="1034">
        <f t="shared" si="3"/>
        <v>0</v>
      </c>
      <c r="J24" s="1034">
        <f t="shared" si="3"/>
        <v>0</v>
      </c>
      <c r="K24" s="1034">
        <f t="shared" si="3"/>
        <v>0</v>
      </c>
      <c r="L24" s="1034"/>
      <c r="M24" s="1022"/>
      <c r="N24" s="1022">
        <v>0</v>
      </c>
      <c r="O24" s="1022"/>
      <c r="P24" s="1034"/>
      <c r="Q24" s="1022"/>
      <c r="R24" s="1022">
        <v>0</v>
      </c>
      <c r="S24" s="1022"/>
    </row>
    <row r="25" spans="1:19">
      <c r="A25" s="1056">
        <f t="shared" si="11"/>
        <v>2.0899999999999981</v>
      </c>
      <c r="B25" s="1022" t="s">
        <v>857</v>
      </c>
      <c r="C25" s="1034">
        <f t="shared" si="0"/>
        <v>0</v>
      </c>
      <c r="D25" s="1034">
        <f t="shared" si="1"/>
        <v>0</v>
      </c>
      <c r="E25" s="1034"/>
      <c r="F25" s="1034"/>
      <c r="G25" s="1034">
        <f t="shared" si="2"/>
        <v>0</v>
      </c>
      <c r="H25" s="1034"/>
      <c r="I25" s="1034">
        <f t="shared" si="3"/>
        <v>0</v>
      </c>
      <c r="J25" s="1034">
        <f t="shared" si="3"/>
        <v>0</v>
      </c>
      <c r="K25" s="1034">
        <f t="shared" si="3"/>
        <v>0</v>
      </c>
      <c r="L25" s="1034"/>
      <c r="M25" s="1022"/>
      <c r="N25" s="1022">
        <v>0</v>
      </c>
      <c r="O25" s="1022"/>
      <c r="P25" s="1034"/>
      <c r="Q25" s="1022"/>
      <c r="R25" s="1022">
        <v>0</v>
      </c>
      <c r="S25" s="1022"/>
    </row>
    <row r="26" spans="1:19">
      <c r="A26" s="1056">
        <f t="shared" si="11"/>
        <v>2.0999999999999979</v>
      </c>
      <c r="B26" s="1022" t="s">
        <v>858</v>
      </c>
      <c r="C26" s="1034">
        <f t="shared" si="0"/>
        <v>0</v>
      </c>
      <c r="D26" s="1034">
        <f t="shared" si="1"/>
        <v>0</v>
      </c>
      <c r="E26" s="1034"/>
      <c r="F26" s="1034"/>
      <c r="G26" s="1034">
        <f t="shared" si="2"/>
        <v>0</v>
      </c>
      <c r="H26" s="1034"/>
      <c r="I26" s="1034">
        <f t="shared" si="3"/>
        <v>0</v>
      </c>
      <c r="J26" s="1034">
        <f t="shared" si="3"/>
        <v>0</v>
      </c>
      <c r="K26" s="1034">
        <f t="shared" si="3"/>
        <v>0</v>
      </c>
      <c r="L26" s="1034"/>
      <c r="M26" s="1022"/>
      <c r="N26" s="1022">
        <v>0</v>
      </c>
      <c r="O26" s="1022"/>
      <c r="P26" s="1034"/>
      <c r="Q26" s="1022"/>
      <c r="R26" s="1022">
        <v>0</v>
      </c>
      <c r="S26" s="1022"/>
    </row>
    <row r="27" spans="1:19">
      <c r="A27" s="1056">
        <f t="shared" si="11"/>
        <v>2.1099999999999977</v>
      </c>
      <c r="B27" s="1022" t="s">
        <v>1029</v>
      </c>
      <c r="C27" s="1034">
        <f t="shared" ref="C27:C38" si="12">SUM(M27:O27)</f>
        <v>0</v>
      </c>
      <c r="D27" s="1034">
        <f t="shared" ref="D27:D54" si="13">SUM(Q27:S27)</f>
        <v>0</v>
      </c>
      <c r="E27" s="1034"/>
      <c r="F27" s="1034"/>
      <c r="G27" s="1034">
        <f t="shared" ref="G27:G38" si="14">ROUND(SUM(C27:F27)/2,0)</f>
        <v>0</v>
      </c>
      <c r="H27" s="1034"/>
      <c r="I27" s="1034">
        <f t="shared" ref="I27:I38" si="15">(M27+Q27)/2</f>
        <v>0</v>
      </c>
      <c r="J27" s="1034">
        <f t="shared" ref="J27:J38" si="16">(N27+R27)/2</f>
        <v>0</v>
      </c>
      <c r="K27" s="1034">
        <f t="shared" ref="K27:K38" si="17">(O27+S27)/2</f>
        <v>0</v>
      </c>
      <c r="L27" s="1034"/>
      <c r="M27" s="1022"/>
      <c r="N27" s="1022">
        <v>0</v>
      </c>
      <c r="O27" s="1022"/>
      <c r="P27" s="1034"/>
      <c r="Q27" s="1022"/>
      <c r="R27" s="1022">
        <v>0</v>
      </c>
      <c r="S27" s="1022"/>
    </row>
    <row r="28" spans="1:19">
      <c r="A28" s="1056">
        <f t="shared" si="11"/>
        <v>2.1199999999999974</v>
      </c>
      <c r="B28" s="1022" t="s">
        <v>872</v>
      </c>
      <c r="C28" s="1034">
        <f t="shared" si="12"/>
        <v>0</v>
      </c>
      <c r="D28" s="1034">
        <f t="shared" si="13"/>
        <v>0</v>
      </c>
      <c r="E28" s="1034"/>
      <c r="F28" s="1034"/>
      <c r="G28" s="1034">
        <f t="shared" si="14"/>
        <v>0</v>
      </c>
      <c r="H28" s="1034"/>
      <c r="I28" s="1034">
        <f t="shared" si="15"/>
        <v>0</v>
      </c>
      <c r="J28" s="1034">
        <f t="shared" si="16"/>
        <v>0</v>
      </c>
      <c r="K28" s="1034">
        <f t="shared" si="17"/>
        <v>0</v>
      </c>
      <c r="L28" s="1034"/>
      <c r="M28" s="1022"/>
      <c r="N28" s="1022">
        <v>0</v>
      </c>
      <c r="O28" s="1022"/>
      <c r="P28" s="1034"/>
      <c r="Q28" s="1022"/>
      <c r="R28" s="1022">
        <v>0</v>
      </c>
      <c r="S28" s="1022"/>
    </row>
    <row r="29" spans="1:19">
      <c r="A29" s="1056">
        <f t="shared" si="11"/>
        <v>2.1299999999999972</v>
      </c>
      <c r="B29" s="1022" t="s">
        <v>1030</v>
      </c>
      <c r="C29" s="1034">
        <f t="shared" si="12"/>
        <v>0</v>
      </c>
      <c r="D29" s="1034">
        <f t="shared" si="13"/>
        <v>0</v>
      </c>
      <c r="E29" s="1034"/>
      <c r="F29" s="1034"/>
      <c r="G29" s="1034">
        <f t="shared" si="14"/>
        <v>0</v>
      </c>
      <c r="H29" s="1034"/>
      <c r="I29" s="1034">
        <f t="shared" si="15"/>
        <v>0</v>
      </c>
      <c r="J29" s="1034">
        <f t="shared" si="16"/>
        <v>0</v>
      </c>
      <c r="K29" s="1034">
        <f t="shared" si="17"/>
        <v>0</v>
      </c>
      <c r="L29" s="1034"/>
      <c r="M29" s="1022"/>
      <c r="N29" s="1022">
        <v>0</v>
      </c>
      <c r="O29" s="1022"/>
      <c r="P29" s="1034"/>
      <c r="Q29" s="1022"/>
      <c r="R29" s="1022">
        <v>0</v>
      </c>
      <c r="S29" s="1022"/>
    </row>
    <row r="30" spans="1:19">
      <c r="A30" s="1056">
        <f t="shared" si="11"/>
        <v>2.139999999999997</v>
      </c>
      <c r="B30" s="1022" t="s">
        <v>837</v>
      </c>
      <c r="C30" s="1034">
        <f t="shared" si="12"/>
        <v>0</v>
      </c>
      <c r="D30" s="1034">
        <f t="shared" si="13"/>
        <v>0</v>
      </c>
      <c r="E30" s="1034"/>
      <c r="F30" s="1034"/>
      <c r="G30" s="1034">
        <f t="shared" si="14"/>
        <v>0</v>
      </c>
      <c r="H30" s="1034"/>
      <c r="I30" s="1034">
        <f t="shared" si="15"/>
        <v>0</v>
      </c>
      <c r="J30" s="1034">
        <f t="shared" si="16"/>
        <v>0</v>
      </c>
      <c r="K30" s="1034">
        <f t="shared" si="17"/>
        <v>0</v>
      </c>
      <c r="L30" s="1034"/>
      <c r="M30" s="1022"/>
      <c r="N30" s="1022">
        <v>0</v>
      </c>
      <c r="O30" s="1022"/>
      <c r="P30" s="1034"/>
      <c r="Q30" s="1022"/>
      <c r="R30" s="1022">
        <v>0</v>
      </c>
      <c r="S30" s="1022"/>
    </row>
    <row r="31" spans="1:19">
      <c r="A31" s="1056">
        <f t="shared" si="11"/>
        <v>2.1499999999999968</v>
      </c>
      <c r="B31" s="1022" t="s">
        <v>838</v>
      </c>
      <c r="C31" s="1034">
        <f t="shared" si="12"/>
        <v>0</v>
      </c>
      <c r="D31" s="1034">
        <f t="shared" si="13"/>
        <v>0</v>
      </c>
      <c r="E31" s="1034"/>
      <c r="F31" s="1034"/>
      <c r="G31" s="1034">
        <f t="shared" si="14"/>
        <v>0</v>
      </c>
      <c r="H31" s="1034"/>
      <c r="I31" s="1034">
        <f t="shared" si="15"/>
        <v>0</v>
      </c>
      <c r="J31" s="1034">
        <f t="shared" si="16"/>
        <v>0</v>
      </c>
      <c r="K31" s="1034">
        <f t="shared" si="17"/>
        <v>0</v>
      </c>
      <c r="L31" s="1034"/>
      <c r="M31" s="1022"/>
      <c r="N31" s="1022">
        <v>0</v>
      </c>
      <c r="O31" s="1022"/>
      <c r="P31" s="1034"/>
      <c r="Q31" s="1022"/>
      <c r="R31" s="1022">
        <v>0</v>
      </c>
      <c r="S31" s="1022"/>
    </row>
    <row r="32" spans="1:19">
      <c r="A32" s="1056">
        <f t="shared" si="11"/>
        <v>2.1599999999999966</v>
      </c>
      <c r="B32" s="1022" t="s">
        <v>941</v>
      </c>
      <c r="C32" s="1034">
        <f t="shared" si="12"/>
        <v>0</v>
      </c>
      <c r="D32" s="1034">
        <f t="shared" si="13"/>
        <v>0</v>
      </c>
      <c r="E32" s="1034"/>
      <c r="F32" s="1034"/>
      <c r="G32" s="1034">
        <f t="shared" si="14"/>
        <v>0</v>
      </c>
      <c r="H32" s="1034"/>
      <c r="I32" s="1034">
        <f t="shared" si="15"/>
        <v>0</v>
      </c>
      <c r="J32" s="1034">
        <f t="shared" si="16"/>
        <v>0</v>
      </c>
      <c r="K32" s="1034">
        <f t="shared" si="17"/>
        <v>0</v>
      </c>
      <c r="L32" s="1034"/>
      <c r="M32" s="1022"/>
      <c r="N32" s="1022">
        <v>0</v>
      </c>
      <c r="O32" s="1022"/>
      <c r="P32" s="1034"/>
      <c r="Q32" s="1022"/>
      <c r="R32" s="1022">
        <v>0</v>
      </c>
      <c r="S32" s="1022"/>
    </row>
    <row r="33" spans="1:19">
      <c r="A33" s="1056">
        <f t="shared" si="11"/>
        <v>2.1699999999999964</v>
      </c>
      <c r="B33" s="1022" t="s">
        <v>839</v>
      </c>
      <c r="C33" s="1034">
        <f t="shared" si="12"/>
        <v>0</v>
      </c>
      <c r="D33" s="1034">
        <f t="shared" si="13"/>
        <v>0</v>
      </c>
      <c r="E33" s="1034"/>
      <c r="F33" s="1034"/>
      <c r="G33" s="1034">
        <f t="shared" si="14"/>
        <v>0</v>
      </c>
      <c r="H33" s="1034"/>
      <c r="I33" s="1034">
        <f t="shared" si="15"/>
        <v>0</v>
      </c>
      <c r="J33" s="1034">
        <f t="shared" si="16"/>
        <v>0</v>
      </c>
      <c r="K33" s="1034">
        <f t="shared" si="17"/>
        <v>0</v>
      </c>
      <c r="L33" s="1034"/>
      <c r="M33" s="1022"/>
      <c r="N33" s="1022">
        <v>0</v>
      </c>
      <c r="O33" s="1022"/>
      <c r="P33" s="1034"/>
      <c r="Q33" s="1022"/>
      <c r="R33" s="1022">
        <v>0</v>
      </c>
      <c r="S33" s="1022"/>
    </row>
    <row r="34" spans="1:19">
      <c r="A34" s="1056">
        <f t="shared" si="11"/>
        <v>2.1799999999999962</v>
      </c>
      <c r="B34" s="1022" t="s">
        <v>1031</v>
      </c>
      <c r="C34" s="1034">
        <f t="shared" si="12"/>
        <v>0</v>
      </c>
      <c r="D34" s="1034">
        <f t="shared" si="13"/>
        <v>0</v>
      </c>
      <c r="E34" s="1034"/>
      <c r="F34" s="1034"/>
      <c r="G34" s="1034">
        <f t="shared" si="14"/>
        <v>0</v>
      </c>
      <c r="H34" s="1034"/>
      <c r="I34" s="1034">
        <f t="shared" si="15"/>
        <v>0</v>
      </c>
      <c r="J34" s="1034">
        <f t="shared" si="16"/>
        <v>0</v>
      </c>
      <c r="K34" s="1034">
        <f t="shared" si="17"/>
        <v>0</v>
      </c>
      <c r="L34" s="1034"/>
      <c r="M34" s="1022"/>
      <c r="N34" s="1022">
        <v>0</v>
      </c>
      <c r="O34" s="1022"/>
      <c r="P34" s="1034"/>
      <c r="Q34" s="1022"/>
      <c r="R34" s="1022">
        <v>0</v>
      </c>
      <c r="S34" s="1022"/>
    </row>
    <row r="35" spans="1:19">
      <c r="A35" s="1056">
        <f t="shared" si="11"/>
        <v>2.1899999999999959</v>
      </c>
      <c r="B35" s="1022" t="s">
        <v>1026</v>
      </c>
      <c r="C35" s="1034">
        <f t="shared" si="12"/>
        <v>0</v>
      </c>
      <c r="D35" s="1034">
        <f t="shared" si="13"/>
        <v>0</v>
      </c>
      <c r="E35" s="1034"/>
      <c r="F35" s="1034"/>
      <c r="G35" s="1034">
        <f t="shared" si="14"/>
        <v>0</v>
      </c>
      <c r="H35" s="1034"/>
      <c r="I35" s="1034">
        <f t="shared" si="15"/>
        <v>0</v>
      </c>
      <c r="J35" s="1034">
        <f t="shared" si="16"/>
        <v>0</v>
      </c>
      <c r="K35" s="1034">
        <f t="shared" si="17"/>
        <v>0</v>
      </c>
      <c r="L35" s="1034"/>
      <c r="M35" s="1022"/>
      <c r="N35" s="1022">
        <v>0</v>
      </c>
      <c r="O35" s="1022"/>
      <c r="P35" s="1034"/>
      <c r="Q35" s="1022"/>
      <c r="R35" s="1022">
        <v>0</v>
      </c>
      <c r="S35" s="1022"/>
    </row>
    <row r="36" spans="1:19">
      <c r="A36" s="1056">
        <f t="shared" si="11"/>
        <v>2.1999999999999957</v>
      </c>
      <c r="B36" s="1022" t="s">
        <v>840</v>
      </c>
      <c r="C36" s="1034">
        <f t="shared" si="12"/>
        <v>0</v>
      </c>
      <c r="D36" s="1034">
        <f t="shared" si="13"/>
        <v>0</v>
      </c>
      <c r="E36" s="1034"/>
      <c r="F36" s="1034"/>
      <c r="G36" s="1034">
        <f t="shared" si="14"/>
        <v>0</v>
      </c>
      <c r="H36" s="1034"/>
      <c r="I36" s="1034">
        <f t="shared" si="15"/>
        <v>0</v>
      </c>
      <c r="J36" s="1034">
        <f t="shared" si="16"/>
        <v>0</v>
      </c>
      <c r="K36" s="1034">
        <f t="shared" si="17"/>
        <v>0</v>
      </c>
      <c r="L36" s="1034"/>
      <c r="M36" s="1022"/>
      <c r="N36" s="1022">
        <v>0</v>
      </c>
      <c r="O36" s="1022"/>
      <c r="P36" s="1034"/>
      <c r="Q36" s="1022"/>
      <c r="R36" s="1022">
        <v>0</v>
      </c>
      <c r="S36" s="1022"/>
    </row>
    <row r="37" spans="1:19">
      <c r="A37" s="1056">
        <f t="shared" si="11"/>
        <v>2.2099999999999955</v>
      </c>
      <c r="B37" s="1022" t="s">
        <v>1032</v>
      </c>
      <c r="C37" s="1034">
        <f t="shared" si="12"/>
        <v>0</v>
      </c>
      <c r="D37" s="1034">
        <f t="shared" si="13"/>
        <v>0</v>
      </c>
      <c r="E37" s="1034"/>
      <c r="F37" s="1034"/>
      <c r="G37" s="1034">
        <f t="shared" si="14"/>
        <v>0</v>
      </c>
      <c r="H37" s="1034"/>
      <c r="I37" s="1034">
        <f t="shared" si="15"/>
        <v>0</v>
      </c>
      <c r="J37" s="1034">
        <f t="shared" si="16"/>
        <v>0</v>
      </c>
      <c r="K37" s="1034">
        <f t="shared" si="17"/>
        <v>0</v>
      </c>
      <c r="L37" s="1034"/>
      <c r="M37" s="1022"/>
      <c r="N37" s="1022">
        <v>0</v>
      </c>
      <c r="O37" s="1022"/>
      <c r="P37" s="1034"/>
      <c r="Q37" s="1022"/>
      <c r="R37" s="1022">
        <v>0</v>
      </c>
      <c r="S37" s="1022"/>
    </row>
    <row r="38" spans="1:19">
      <c r="A38" s="1056">
        <f t="shared" si="11"/>
        <v>2.2199999999999953</v>
      </c>
      <c r="B38" s="1022" t="s">
        <v>841</v>
      </c>
      <c r="C38" s="1034">
        <f t="shared" si="12"/>
        <v>0</v>
      </c>
      <c r="D38" s="1034">
        <f t="shared" si="13"/>
        <v>0</v>
      </c>
      <c r="E38" s="1034"/>
      <c r="F38" s="1034"/>
      <c r="G38" s="1034">
        <f t="shared" si="14"/>
        <v>0</v>
      </c>
      <c r="H38" s="1034"/>
      <c r="I38" s="1034">
        <f t="shared" si="15"/>
        <v>0</v>
      </c>
      <c r="J38" s="1034">
        <f t="shared" si="16"/>
        <v>0</v>
      </c>
      <c r="K38" s="1034">
        <f t="shared" si="17"/>
        <v>0</v>
      </c>
      <c r="L38" s="1034"/>
      <c r="M38" s="1022"/>
      <c r="N38" s="1022">
        <v>0</v>
      </c>
      <c r="O38" s="1022"/>
      <c r="P38" s="1034"/>
      <c r="Q38" s="1022"/>
      <c r="R38" s="1022">
        <v>0</v>
      </c>
      <c r="S38" s="1022"/>
    </row>
    <row r="39" spans="1:19">
      <c r="A39" s="1056">
        <f>A38+0.01</f>
        <v>2.2299999999999951</v>
      </c>
      <c r="B39" s="1022" t="s">
        <v>1037</v>
      </c>
      <c r="C39" s="1034">
        <f t="shared" ref="C39:C53" si="18">SUM(M39:O39)</f>
        <v>-0.09</v>
      </c>
      <c r="D39" s="1034">
        <f t="shared" ref="D39:D53" si="19">SUM(Q39:S39)</f>
        <v>0</v>
      </c>
      <c r="E39" s="1034"/>
      <c r="F39" s="1034"/>
      <c r="G39" s="1034">
        <f t="shared" ref="G39:G53" si="20">ROUND(SUM(C39:F39)/2,0)</f>
        <v>0</v>
      </c>
      <c r="H39" s="1034"/>
      <c r="I39" s="1034">
        <f t="shared" ref="I39:I53" si="21">(M39+Q39)/2</f>
        <v>0</v>
      </c>
      <c r="J39" s="1034">
        <f t="shared" ref="J39:J53" si="22">(N39+R39)/2</f>
        <v>-4.4999999999999998E-2</v>
      </c>
      <c r="K39" s="1034">
        <f t="shared" ref="K39:K53" si="23">(O39+S39)/2</f>
        <v>0</v>
      </c>
      <c r="L39" s="1034"/>
      <c r="M39" s="1022"/>
      <c r="N39" s="1022">
        <v>-0.09</v>
      </c>
      <c r="O39" s="1022"/>
      <c r="P39" s="1034"/>
      <c r="Q39" s="1022"/>
      <c r="R39" s="1022">
        <v>0</v>
      </c>
      <c r="S39" s="1022"/>
    </row>
    <row r="40" spans="1:19">
      <c r="A40" s="1056">
        <f t="shared" si="11"/>
        <v>2.2399999999999949</v>
      </c>
      <c r="B40" s="1022" t="s">
        <v>1038</v>
      </c>
      <c r="C40" s="1034">
        <f t="shared" si="18"/>
        <v>35857.08</v>
      </c>
      <c r="D40" s="1034">
        <f t="shared" si="19"/>
        <v>46003.4</v>
      </c>
      <c r="E40" s="1034"/>
      <c r="F40" s="1034"/>
      <c r="G40" s="1034">
        <f t="shared" si="20"/>
        <v>40930</v>
      </c>
      <c r="H40" s="1034"/>
      <c r="I40" s="1034">
        <f t="shared" si="21"/>
        <v>0</v>
      </c>
      <c r="J40" s="1034">
        <f t="shared" si="22"/>
        <v>40930.240000000005</v>
      </c>
      <c r="K40" s="1034">
        <f t="shared" si="23"/>
        <v>0</v>
      </c>
      <c r="L40" s="1034"/>
      <c r="M40" s="1022"/>
      <c r="N40" s="1022">
        <v>35857.08</v>
      </c>
      <c r="O40" s="1022"/>
      <c r="P40" s="1034"/>
      <c r="Q40" s="1022"/>
      <c r="R40" s="1022">
        <v>46003.4</v>
      </c>
      <c r="S40" s="1022"/>
    </row>
    <row r="41" spans="1:19">
      <c r="A41" s="1056">
        <f t="shared" si="11"/>
        <v>2.2499999999999947</v>
      </c>
      <c r="B41" s="1022" t="s">
        <v>1039</v>
      </c>
      <c r="C41" s="1034">
        <f t="shared" si="18"/>
        <v>589.4</v>
      </c>
      <c r="D41" s="1034">
        <f t="shared" si="19"/>
        <v>67.88</v>
      </c>
      <c r="E41" s="1034"/>
      <c r="F41" s="1034"/>
      <c r="G41" s="1034">
        <f t="shared" si="20"/>
        <v>329</v>
      </c>
      <c r="H41" s="1034"/>
      <c r="I41" s="1034">
        <f t="shared" si="21"/>
        <v>0</v>
      </c>
      <c r="J41" s="1034">
        <f t="shared" si="22"/>
        <v>328.64</v>
      </c>
      <c r="K41" s="1034">
        <f t="shared" si="23"/>
        <v>0</v>
      </c>
      <c r="L41" s="1034"/>
      <c r="M41" s="1022"/>
      <c r="N41" s="1022">
        <v>589.4</v>
      </c>
      <c r="O41" s="1022"/>
      <c r="P41" s="1034"/>
      <c r="Q41" s="1022"/>
      <c r="R41" s="1022">
        <v>67.88</v>
      </c>
      <c r="S41" s="1022"/>
    </row>
    <row r="42" spans="1:19">
      <c r="A42" s="1056">
        <f t="shared" si="11"/>
        <v>2.2599999999999945</v>
      </c>
      <c r="B42" s="1022" t="s">
        <v>1040</v>
      </c>
      <c r="C42" s="1034">
        <f t="shared" si="18"/>
        <v>-67764.69</v>
      </c>
      <c r="D42" s="1034">
        <f t="shared" si="19"/>
        <v>-76658.73</v>
      </c>
      <c r="E42" s="1034"/>
      <c r="F42" s="1034"/>
      <c r="G42" s="1034">
        <f t="shared" si="20"/>
        <v>-72212</v>
      </c>
      <c r="H42" s="1034"/>
      <c r="I42" s="1034">
        <f t="shared" si="21"/>
        <v>0</v>
      </c>
      <c r="J42" s="1034">
        <f t="shared" si="22"/>
        <v>-72211.709999999992</v>
      </c>
      <c r="K42" s="1034">
        <f t="shared" si="23"/>
        <v>0</v>
      </c>
      <c r="L42" s="1034"/>
      <c r="M42" s="1022"/>
      <c r="N42" s="1022">
        <v>-67764.69</v>
      </c>
      <c r="O42" s="1022"/>
      <c r="P42" s="1034"/>
      <c r="Q42" s="1022"/>
      <c r="R42" s="1022">
        <v>-76658.73</v>
      </c>
      <c r="S42" s="1022"/>
    </row>
    <row r="43" spans="1:19">
      <c r="A43" s="1056">
        <f t="shared" si="11"/>
        <v>2.2699999999999942</v>
      </c>
      <c r="B43" s="1022" t="s">
        <v>1041</v>
      </c>
      <c r="C43" s="1034">
        <f t="shared" si="18"/>
        <v>378239.84</v>
      </c>
      <c r="D43" s="1034">
        <f t="shared" si="19"/>
        <v>477158.66000000003</v>
      </c>
      <c r="E43" s="1034"/>
      <c r="F43" s="1034"/>
      <c r="G43" s="1034">
        <f t="shared" si="20"/>
        <v>427699</v>
      </c>
      <c r="H43" s="1034"/>
      <c r="I43" s="1034">
        <f t="shared" si="21"/>
        <v>0</v>
      </c>
      <c r="J43" s="1034">
        <f t="shared" si="22"/>
        <v>427699.25</v>
      </c>
      <c r="K43" s="1034">
        <f t="shared" si="23"/>
        <v>0</v>
      </c>
      <c r="L43" s="1034"/>
      <c r="M43" s="1022"/>
      <c r="N43" s="1022">
        <v>378239.84</v>
      </c>
      <c r="O43" s="1022"/>
      <c r="P43" s="1034"/>
      <c r="Q43" s="1022"/>
      <c r="R43" s="1022">
        <v>477158.66000000003</v>
      </c>
      <c r="S43" s="1022"/>
    </row>
    <row r="44" spans="1:19">
      <c r="A44" s="1056">
        <f t="shared" si="11"/>
        <v>2.279999999999994</v>
      </c>
      <c r="B44" s="1022" t="s">
        <v>1042</v>
      </c>
      <c r="C44" s="1034">
        <f t="shared" si="18"/>
        <v>0.1</v>
      </c>
      <c r="D44" s="1034">
        <f t="shared" si="19"/>
        <v>0.1</v>
      </c>
      <c r="E44" s="1034"/>
      <c r="F44" s="1034"/>
      <c r="G44" s="1034">
        <f t="shared" si="20"/>
        <v>0</v>
      </c>
      <c r="H44" s="1034"/>
      <c r="I44" s="1034">
        <f t="shared" si="21"/>
        <v>0</v>
      </c>
      <c r="J44" s="1034">
        <f t="shared" si="22"/>
        <v>0.1</v>
      </c>
      <c r="K44" s="1034">
        <f t="shared" si="23"/>
        <v>0</v>
      </c>
      <c r="L44" s="1034"/>
      <c r="M44" s="1022"/>
      <c r="N44" s="1022">
        <v>0.1</v>
      </c>
      <c r="O44" s="1022"/>
      <c r="P44" s="1034"/>
      <c r="Q44" s="1022"/>
      <c r="R44" s="1022">
        <v>0.1</v>
      </c>
      <c r="S44" s="1022"/>
    </row>
    <row r="45" spans="1:19">
      <c r="A45" s="1056">
        <f t="shared" si="11"/>
        <v>2.2899999999999938</v>
      </c>
      <c r="B45" s="1022" t="s">
        <v>1043</v>
      </c>
      <c r="C45" s="1034">
        <f t="shared" si="18"/>
        <v>21397.52</v>
      </c>
      <c r="D45" s="1034">
        <f t="shared" si="19"/>
        <v>21435.72</v>
      </c>
      <c r="E45" s="1034"/>
      <c r="F45" s="1034"/>
      <c r="G45" s="1034">
        <f t="shared" si="20"/>
        <v>21417</v>
      </c>
      <c r="H45" s="1034"/>
      <c r="I45" s="1034">
        <f t="shared" si="21"/>
        <v>0</v>
      </c>
      <c r="J45" s="1034">
        <f t="shared" si="22"/>
        <v>21416.620000000003</v>
      </c>
      <c r="K45" s="1034">
        <f t="shared" si="23"/>
        <v>0</v>
      </c>
      <c r="L45" s="1034"/>
      <c r="M45" s="1022"/>
      <c r="N45" s="1022">
        <v>21397.52</v>
      </c>
      <c r="O45" s="1022"/>
      <c r="P45" s="1034"/>
      <c r="Q45" s="1022"/>
      <c r="R45" s="1022">
        <v>21435.72</v>
      </c>
      <c r="S45" s="1022"/>
    </row>
    <row r="46" spans="1:19">
      <c r="A46" s="1056">
        <f t="shared" si="11"/>
        <v>2.2999999999999936</v>
      </c>
      <c r="B46" s="1022" t="s">
        <v>1044</v>
      </c>
      <c r="C46" s="1034">
        <f t="shared" si="18"/>
        <v>-1445.06</v>
      </c>
      <c r="D46" s="1034">
        <f t="shared" si="19"/>
        <v>-1447.66</v>
      </c>
      <c r="E46" s="1034"/>
      <c r="F46" s="1034"/>
      <c r="G46" s="1034">
        <f t="shared" si="20"/>
        <v>-1446</v>
      </c>
      <c r="H46" s="1034"/>
      <c r="I46" s="1034">
        <f t="shared" si="21"/>
        <v>0</v>
      </c>
      <c r="J46" s="1034">
        <f t="shared" si="22"/>
        <v>-1446.3600000000001</v>
      </c>
      <c r="K46" s="1034">
        <f t="shared" si="23"/>
        <v>0</v>
      </c>
      <c r="L46" s="1034"/>
      <c r="M46" s="1022"/>
      <c r="N46" s="1022">
        <v>-1445.06</v>
      </c>
      <c r="O46" s="1022"/>
      <c r="P46" s="1034"/>
      <c r="Q46" s="1022"/>
      <c r="R46" s="1022">
        <v>-1447.66</v>
      </c>
      <c r="S46" s="1022"/>
    </row>
    <row r="47" spans="1:19">
      <c r="A47" s="1056">
        <f t="shared" si="11"/>
        <v>2.3099999999999934</v>
      </c>
      <c r="B47" s="1022" t="s">
        <v>1045</v>
      </c>
      <c r="C47" s="1034">
        <f t="shared" si="18"/>
        <v>52744.23</v>
      </c>
      <c r="D47" s="1034">
        <f t="shared" si="19"/>
        <v>142218.65</v>
      </c>
      <c r="E47" s="1034"/>
      <c r="F47" s="1034"/>
      <c r="G47" s="1034">
        <f t="shared" si="20"/>
        <v>97481</v>
      </c>
      <c r="H47" s="1034"/>
      <c r="I47" s="1034">
        <f t="shared" si="21"/>
        <v>0</v>
      </c>
      <c r="J47" s="1034">
        <f t="shared" si="22"/>
        <v>97481.44</v>
      </c>
      <c r="K47" s="1034">
        <f t="shared" si="23"/>
        <v>0</v>
      </c>
      <c r="L47" s="1034"/>
      <c r="M47" s="1022"/>
      <c r="N47" s="1022">
        <v>52744.23</v>
      </c>
      <c r="O47" s="1022"/>
      <c r="P47" s="1034"/>
      <c r="Q47" s="1022"/>
      <c r="R47" s="1022">
        <v>142218.65</v>
      </c>
      <c r="S47" s="1022"/>
    </row>
    <row r="48" spans="1:19">
      <c r="A48" s="1056">
        <f t="shared" si="11"/>
        <v>2.3199999999999932</v>
      </c>
      <c r="B48" s="1022" t="s">
        <v>1046</v>
      </c>
      <c r="C48" s="1034">
        <f t="shared" si="18"/>
        <v>-0.02</v>
      </c>
      <c r="D48" s="1034">
        <f t="shared" si="19"/>
        <v>-1838.0900000000001</v>
      </c>
      <c r="E48" s="1034"/>
      <c r="F48" s="1034"/>
      <c r="G48" s="1034">
        <f t="shared" si="20"/>
        <v>-919</v>
      </c>
      <c r="H48" s="1034"/>
      <c r="I48" s="1034">
        <f t="shared" si="21"/>
        <v>0</v>
      </c>
      <c r="J48" s="1034">
        <f t="shared" si="22"/>
        <v>-919.05500000000006</v>
      </c>
      <c r="K48" s="1034">
        <f t="shared" si="23"/>
        <v>0</v>
      </c>
      <c r="L48" s="1034"/>
      <c r="M48" s="1022"/>
      <c r="N48" s="1022">
        <v>-0.02</v>
      </c>
      <c r="O48" s="1022"/>
      <c r="P48" s="1034"/>
      <c r="Q48" s="1022"/>
      <c r="R48" s="1022">
        <v>-1838.0900000000001</v>
      </c>
      <c r="S48" s="1022"/>
    </row>
    <row r="49" spans="1:19">
      <c r="A49" s="1056">
        <f t="shared" si="11"/>
        <v>2.329999999999993</v>
      </c>
      <c r="B49" s="1022" t="s">
        <v>1047</v>
      </c>
      <c r="C49" s="1034">
        <f t="shared" si="18"/>
        <v>0</v>
      </c>
      <c r="D49" s="1034">
        <f t="shared" si="19"/>
        <v>1791.31</v>
      </c>
      <c r="E49" s="1034"/>
      <c r="F49" s="1034"/>
      <c r="G49" s="1034">
        <f t="shared" si="20"/>
        <v>896</v>
      </c>
      <c r="H49" s="1034"/>
      <c r="I49" s="1034">
        <f t="shared" si="21"/>
        <v>0</v>
      </c>
      <c r="J49" s="1034">
        <f t="shared" si="22"/>
        <v>895.65499999999997</v>
      </c>
      <c r="K49" s="1034">
        <f t="shared" si="23"/>
        <v>0</v>
      </c>
      <c r="L49" s="1034"/>
      <c r="M49" s="1022"/>
      <c r="N49" s="1022">
        <v>0</v>
      </c>
      <c r="O49" s="1022"/>
      <c r="P49" s="1034"/>
      <c r="Q49" s="1022"/>
      <c r="R49" s="1022">
        <v>1791.31</v>
      </c>
      <c r="S49" s="1022"/>
    </row>
    <row r="50" spans="1:19">
      <c r="A50" s="1056">
        <f t="shared" si="11"/>
        <v>2.3399999999999928</v>
      </c>
      <c r="B50" s="1022" t="s">
        <v>1048</v>
      </c>
      <c r="C50" s="1034">
        <f t="shared" si="18"/>
        <v>0</v>
      </c>
      <c r="D50" s="1034">
        <f t="shared" si="19"/>
        <v>-82.820000000000007</v>
      </c>
      <c r="E50" s="1034"/>
      <c r="F50" s="1034"/>
      <c r="G50" s="1034">
        <f t="shared" si="20"/>
        <v>-41</v>
      </c>
      <c r="H50" s="1034"/>
      <c r="I50" s="1034">
        <f t="shared" si="21"/>
        <v>0</v>
      </c>
      <c r="J50" s="1034">
        <f t="shared" si="22"/>
        <v>-41.410000000000004</v>
      </c>
      <c r="K50" s="1034">
        <f t="shared" si="23"/>
        <v>0</v>
      </c>
      <c r="L50" s="1034"/>
      <c r="M50" s="1022"/>
      <c r="N50" s="1022">
        <v>0</v>
      </c>
      <c r="O50" s="1022"/>
      <c r="P50" s="1034"/>
      <c r="Q50" s="1022"/>
      <c r="R50" s="1022">
        <v>-82.820000000000007</v>
      </c>
      <c r="S50" s="1022"/>
    </row>
    <row r="51" spans="1:19">
      <c r="A51" s="1056">
        <f t="shared" si="11"/>
        <v>2.3499999999999925</v>
      </c>
      <c r="B51" s="1022" t="s">
        <v>1049</v>
      </c>
      <c r="C51" s="1034">
        <f t="shared" si="18"/>
        <v>606.56000000000006</v>
      </c>
      <c r="D51" s="1034">
        <f t="shared" si="19"/>
        <v>0</v>
      </c>
      <c r="E51" s="1034"/>
      <c r="F51" s="1034"/>
      <c r="G51" s="1034">
        <f t="shared" si="20"/>
        <v>303</v>
      </c>
      <c r="H51" s="1034"/>
      <c r="I51" s="1034">
        <f t="shared" si="21"/>
        <v>0</v>
      </c>
      <c r="J51" s="1034">
        <f t="shared" si="22"/>
        <v>303.28000000000003</v>
      </c>
      <c r="K51" s="1034">
        <f t="shared" si="23"/>
        <v>0</v>
      </c>
      <c r="L51" s="1034"/>
      <c r="M51" s="1022"/>
      <c r="N51" s="1022">
        <v>606.56000000000006</v>
      </c>
      <c r="O51" s="1022"/>
      <c r="P51" s="1034"/>
      <c r="Q51" s="1022"/>
      <c r="R51" s="1022">
        <v>0</v>
      </c>
      <c r="S51" s="1022"/>
    </row>
    <row r="52" spans="1:19">
      <c r="A52" s="1056">
        <f t="shared" si="11"/>
        <v>2.3599999999999923</v>
      </c>
      <c r="B52" s="1022" t="s">
        <v>1050</v>
      </c>
      <c r="C52" s="1034">
        <f t="shared" si="18"/>
        <v>-38694.78</v>
      </c>
      <c r="D52" s="1034">
        <f t="shared" si="19"/>
        <v>-34915.550000000003</v>
      </c>
      <c r="E52" s="1034"/>
      <c r="F52" s="1034"/>
      <c r="G52" s="1034">
        <f t="shared" si="20"/>
        <v>-36805</v>
      </c>
      <c r="H52" s="1034"/>
      <c r="I52" s="1034">
        <f t="shared" si="21"/>
        <v>0</v>
      </c>
      <c r="J52" s="1034">
        <f t="shared" si="22"/>
        <v>-36805.165000000001</v>
      </c>
      <c r="K52" s="1034">
        <f t="shared" si="23"/>
        <v>0</v>
      </c>
      <c r="L52" s="1034"/>
      <c r="M52" s="1022"/>
      <c r="N52" s="1022">
        <v>-38694.78</v>
      </c>
      <c r="O52" s="1022"/>
      <c r="P52" s="1034"/>
      <c r="Q52" s="1022"/>
      <c r="R52" s="1022">
        <v>-34915.550000000003</v>
      </c>
      <c r="S52" s="1022"/>
    </row>
    <row r="53" spans="1:19">
      <c r="A53" s="1056">
        <f t="shared" si="11"/>
        <v>2.3699999999999921</v>
      </c>
      <c r="B53" s="1022" t="s">
        <v>1051</v>
      </c>
      <c r="C53" s="1034">
        <f t="shared" si="18"/>
        <v>-121.86</v>
      </c>
      <c r="D53" s="1034">
        <f t="shared" si="19"/>
        <v>-116.24000000000001</v>
      </c>
      <c r="E53" s="1034"/>
      <c r="F53" s="1034"/>
      <c r="G53" s="1034">
        <f t="shared" si="20"/>
        <v>-119</v>
      </c>
      <c r="H53" s="1034"/>
      <c r="I53" s="1034">
        <f t="shared" si="21"/>
        <v>0</v>
      </c>
      <c r="J53" s="1034">
        <f t="shared" si="22"/>
        <v>-119.05000000000001</v>
      </c>
      <c r="K53" s="1034">
        <f t="shared" si="23"/>
        <v>0</v>
      </c>
      <c r="L53" s="1034"/>
      <c r="M53" s="1022"/>
      <c r="N53" s="1022">
        <v>-121.86</v>
      </c>
      <c r="O53" s="1022"/>
      <c r="P53" s="1034"/>
      <c r="Q53" s="1022"/>
      <c r="R53" s="1022">
        <v>-116.24000000000001</v>
      </c>
      <c r="S53" s="1022"/>
    </row>
    <row r="54" spans="1:19">
      <c r="A54" s="1056">
        <f t="shared" si="11"/>
        <v>2.3799999999999919</v>
      </c>
      <c r="B54" s="1390" t="s">
        <v>957</v>
      </c>
      <c r="C54" s="1390">
        <f t="shared" ref="C54" si="24">SUM(M54:O54)</f>
        <v>1672574.5176000001</v>
      </c>
      <c r="D54" s="1390">
        <f t="shared" si="13"/>
        <v>1670974.0252800002</v>
      </c>
      <c r="E54" s="1435"/>
      <c r="F54" s="1435"/>
      <c r="G54" s="1392">
        <f>ROUND(SUM(C54:F54)/2,0)</f>
        <v>1671774</v>
      </c>
      <c r="H54" s="1392"/>
      <c r="I54" s="1392">
        <f t="shared" si="3"/>
        <v>0</v>
      </c>
      <c r="J54" s="1392">
        <f t="shared" si="3"/>
        <v>1671774.2714400003</v>
      </c>
      <c r="K54" s="1392">
        <f t="shared" si="3"/>
        <v>0</v>
      </c>
      <c r="L54" s="1034"/>
      <c r="M54" s="1022"/>
      <c r="N54" s="1022">
        <v>1672574.5176000001</v>
      </c>
      <c r="O54" s="1022"/>
      <c r="P54" s="1034"/>
      <c r="Q54" s="1022"/>
      <c r="R54" s="1022">
        <v>1670974.0252800002</v>
      </c>
      <c r="S54" s="1022"/>
    </row>
    <row r="55" spans="1:19">
      <c r="A55" s="1056">
        <f t="shared" si="11"/>
        <v>2.3899999999999917</v>
      </c>
      <c r="B55" s="1390" t="s">
        <v>958</v>
      </c>
      <c r="C55" s="1390">
        <f>-E55</f>
        <v>-1672574.5176000001</v>
      </c>
      <c r="D55" s="1390">
        <f>-F55</f>
        <v>-1670974.0252800002</v>
      </c>
      <c r="E55" s="1435">
        <f>C54</f>
        <v>1672574.5176000001</v>
      </c>
      <c r="F55" s="1435">
        <f>D54</f>
        <v>1670974.0252800002</v>
      </c>
      <c r="G55" s="1392">
        <f>ROUND(SUM(C55:F55)/2,0)</f>
        <v>0</v>
      </c>
      <c r="H55" s="1392"/>
      <c r="I55" s="1392"/>
      <c r="J55" s="1392"/>
      <c r="K55" s="1392"/>
      <c r="L55" s="1034"/>
      <c r="M55" s="1022"/>
      <c r="N55" s="1022">
        <v>0</v>
      </c>
      <c r="O55" s="1022"/>
      <c r="P55" s="1034"/>
      <c r="Q55" s="1022"/>
      <c r="R55" s="1022"/>
      <c r="S55" s="1022"/>
    </row>
    <row r="56" spans="1:19">
      <c r="A56" s="1056">
        <f t="shared" si="11"/>
        <v>2.3999999999999915</v>
      </c>
      <c r="B56" s="1022" t="s">
        <v>844</v>
      </c>
      <c r="C56" s="1022">
        <f t="shared" ref="C56:D61" si="25">-E56</f>
        <v>7.0000000000000007E-2</v>
      </c>
      <c r="D56" s="1022">
        <f t="shared" si="25"/>
        <v>0</v>
      </c>
      <c r="E56" s="1034">
        <v>-7.0000000000000007E-2</v>
      </c>
      <c r="F56" s="1034">
        <v>0</v>
      </c>
      <c r="G56" s="1034">
        <f t="shared" ref="G56:G61" si="26">ROUND(SUM(C56:F56)/2,0)</f>
        <v>0</v>
      </c>
      <c r="H56" s="1034"/>
      <c r="I56" s="1034"/>
      <c r="J56" s="1034"/>
      <c r="K56" s="1034"/>
      <c r="L56" s="1034"/>
      <c r="M56" s="1034"/>
      <c r="N56" s="1034"/>
      <c r="O56" s="1034"/>
      <c r="P56" s="1034"/>
      <c r="Q56" s="1034"/>
      <c r="R56" s="1034"/>
      <c r="S56" s="1034"/>
    </row>
    <row r="57" spans="1:19">
      <c r="A57" s="1056">
        <f t="shared" si="11"/>
        <v>2.4099999999999913</v>
      </c>
      <c r="B57" s="1022" t="s">
        <v>859</v>
      </c>
      <c r="C57" s="1022">
        <f t="shared" si="25"/>
        <v>84994.39</v>
      </c>
      <c r="D57" s="1022">
        <f t="shared" si="25"/>
        <v>86749.64</v>
      </c>
      <c r="E57" s="1034">
        <v>-84994.39</v>
      </c>
      <c r="F57" s="1034">
        <v>-86749.64</v>
      </c>
      <c r="G57" s="1034">
        <f t="shared" si="26"/>
        <v>0</v>
      </c>
      <c r="H57" s="1034"/>
      <c r="I57" s="1034"/>
      <c r="J57" s="1034"/>
      <c r="K57" s="1034"/>
      <c r="L57" s="1034"/>
      <c r="M57" s="1034"/>
      <c r="N57" s="1034"/>
      <c r="O57" s="1034"/>
      <c r="P57" s="1034"/>
      <c r="Q57" s="1034"/>
      <c r="R57" s="1034"/>
      <c r="S57" s="1034"/>
    </row>
    <row r="58" spans="1:19">
      <c r="A58" s="1056">
        <f t="shared" si="11"/>
        <v>2.419999999999991</v>
      </c>
      <c r="B58" s="1022" t="s">
        <v>860</v>
      </c>
      <c r="C58" s="1022">
        <f t="shared" si="25"/>
        <v>65277.91</v>
      </c>
      <c r="D58" s="1022">
        <f t="shared" si="25"/>
        <v>65670.17</v>
      </c>
      <c r="E58" s="1034">
        <v>-65277.91</v>
      </c>
      <c r="F58" s="1034">
        <v>-65670.17</v>
      </c>
      <c r="G58" s="1034">
        <f t="shared" si="26"/>
        <v>0</v>
      </c>
      <c r="H58" s="1034"/>
      <c r="I58" s="1034"/>
      <c r="J58" s="1034"/>
      <c r="K58" s="1034"/>
      <c r="L58" s="1034"/>
      <c r="M58" s="1034"/>
      <c r="N58" s="1034"/>
      <c r="O58" s="1034"/>
      <c r="P58" s="1034"/>
      <c r="Q58" s="1034"/>
      <c r="R58" s="1034"/>
      <c r="S58" s="1034"/>
    </row>
    <row r="59" spans="1:19">
      <c r="A59" s="1056">
        <f t="shared" si="11"/>
        <v>2.4299999999999908</v>
      </c>
      <c r="B59" s="1022" t="s">
        <v>861</v>
      </c>
      <c r="C59" s="1022">
        <f t="shared" si="25"/>
        <v>0</v>
      </c>
      <c r="D59" s="1022">
        <f t="shared" si="25"/>
        <v>0</v>
      </c>
      <c r="E59" s="1034">
        <v>0</v>
      </c>
      <c r="F59" s="1034">
        <v>0</v>
      </c>
      <c r="G59" s="1034">
        <f t="shared" si="26"/>
        <v>0</v>
      </c>
      <c r="H59" s="1034"/>
      <c r="I59" s="1034"/>
      <c r="J59" s="1034"/>
      <c r="K59" s="1034"/>
      <c r="L59" s="1034"/>
      <c r="M59" s="1034"/>
      <c r="N59" s="1034"/>
      <c r="O59" s="1034"/>
      <c r="P59" s="1034"/>
      <c r="Q59" s="1034"/>
      <c r="R59" s="1034"/>
      <c r="S59" s="1034"/>
    </row>
    <row r="60" spans="1:19">
      <c r="A60" s="1056">
        <f t="shared" si="11"/>
        <v>2.4399999999999906</v>
      </c>
      <c r="B60" s="1022" t="s">
        <v>862</v>
      </c>
      <c r="C60" s="1022">
        <f t="shared" si="25"/>
        <v>0</v>
      </c>
      <c r="D60" s="1022">
        <f t="shared" si="25"/>
        <v>0</v>
      </c>
      <c r="E60" s="1034">
        <v>0</v>
      </c>
      <c r="F60" s="1034">
        <v>0</v>
      </c>
      <c r="G60" s="1034">
        <f t="shared" si="26"/>
        <v>0</v>
      </c>
      <c r="H60" s="1034"/>
      <c r="I60" s="1034"/>
      <c r="J60" s="1034"/>
      <c r="K60" s="1034"/>
      <c r="L60" s="1034"/>
      <c r="M60" s="1034"/>
      <c r="N60" s="1034"/>
      <c r="O60" s="1034"/>
      <c r="P60" s="1034"/>
      <c r="Q60" s="1034"/>
      <c r="R60" s="1034"/>
      <c r="S60" s="1034"/>
    </row>
    <row r="61" spans="1:19">
      <c r="A61" s="1056">
        <f t="shared" si="11"/>
        <v>2.4499999999999904</v>
      </c>
      <c r="B61" s="1022" t="s">
        <v>863</v>
      </c>
      <c r="C61" s="1022">
        <f t="shared" si="25"/>
        <v>0</v>
      </c>
      <c r="D61" s="1022">
        <f t="shared" si="25"/>
        <v>0</v>
      </c>
      <c r="E61" s="1034">
        <v>0</v>
      </c>
      <c r="F61" s="1034">
        <v>0</v>
      </c>
      <c r="G61" s="1034">
        <f t="shared" si="26"/>
        <v>0</v>
      </c>
      <c r="H61" s="1034"/>
      <c r="I61" s="1034"/>
      <c r="J61" s="1034"/>
      <c r="K61" s="1034"/>
      <c r="L61" s="1034"/>
      <c r="M61" s="1034"/>
      <c r="N61" s="1034"/>
      <c r="O61" s="1034"/>
      <c r="P61" s="1034"/>
      <c r="Q61" s="1034"/>
      <c r="R61" s="1034"/>
      <c r="S61" s="1034"/>
    </row>
    <row r="62" spans="1:19">
      <c r="A62" s="1056">
        <f t="shared" si="11"/>
        <v>2.4599999999999902</v>
      </c>
      <c r="B62" s="1022" t="s">
        <v>864</v>
      </c>
      <c r="C62" s="1034">
        <f>SUM(M62:O62)</f>
        <v>306154.19</v>
      </c>
      <c r="D62" s="1034">
        <f>SUM(Q62:S62)</f>
        <v>347099.86</v>
      </c>
      <c r="E62" s="1034">
        <v>0</v>
      </c>
      <c r="F62" s="1034">
        <v>0</v>
      </c>
      <c r="G62" s="1034">
        <f>ROUND(SUM(C62:F62)/2,0)</f>
        <v>326627</v>
      </c>
      <c r="H62" s="1034"/>
      <c r="I62" s="1034">
        <f>(M62+Q62)/2</f>
        <v>0</v>
      </c>
      <c r="J62" s="1034">
        <f>(N62+R62)/2</f>
        <v>326627.02500000002</v>
      </c>
      <c r="K62" s="1034">
        <f>(O62+S62)/2</f>
        <v>0</v>
      </c>
      <c r="L62" s="1034"/>
      <c r="M62" s="1022"/>
      <c r="N62" s="1022">
        <v>306154.19</v>
      </c>
      <c r="O62" s="1022"/>
      <c r="P62" s="1034"/>
      <c r="Q62" s="1022"/>
      <c r="R62" s="1022">
        <v>347099.86</v>
      </c>
      <c r="S62" s="1022"/>
    </row>
    <row r="63" spans="1:19">
      <c r="A63" s="1050"/>
      <c r="B63" s="1034"/>
      <c r="C63" s="1034"/>
      <c r="D63" s="1034"/>
      <c r="E63" s="1034"/>
      <c r="F63" s="1034"/>
      <c r="G63" s="1034"/>
      <c r="H63" s="1034"/>
      <c r="I63" s="1034"/>
      <c r="J63" s="1034"/>
      <c r="K63" s="1034"/>
      <c r="L63" s="1034"/>
      <c r="M63" s="1034"/>
      <c r="N63" s="1034"/>
      <c r="O63" s="1034"/>
      <c r="P63" s="1034"/>
      <c r="Q63" s="1034"/>
      <c r="R63" s="1034"/>
      <c r="S63" s="1034"/>
    </row>
    <row r="64" spans="1:19" ht="13.5" thickBot="1">
      <c r="A64" s="1017">
        <v>3</v>
      </c>
      <c r="B64" s="1038" t="s">
        <v>688</v>
      </c>
      <c r="C64" s="1051">
        <f>SUM(C17:C63)</f>
        <v>837834.79</v>
      </c>
      <c r="D64" s="1051">
        <f>SUM(D17:D63)</f>
        <v>1073136.3000000003</v>
      </c>
      <c r="E64" s="1051">
        <f>SUM(E17:E63)</f>
        <v>1522302.1476000003</v>
      </c>
      <c r="F64" s="1051">
        <f>SUM(F17:F63)</f>
        <v>1518554.2152800004</v>
      </c>
      <c r="G64" s="1051">
        <f>SUM(G17:G63)</f>
        <v>2475914</v>
      </c>
      <c r="H64" s="1034"/>
      <c r="I64" s="1051">
        <f>SUM(I17:I63)</f>
        <v>0</v>
      </c>
      <c r="J64" s="1051">
        <f>SUM(J17:J63)</f>
        <v>2475913.7264400003</v>
      </c>
      <c r="K64" s="1051">
        <f>SUM(K17:K63)</f>
        <v>0</v>
      </c>
      <c r="L64" s="1034"/>
      <c r="M64" s="1051">
        <f>SUM(M17:M63)</f>
        <v>0</v>
      </c>
      <c r="N64" s="1051">
        <f>SUM(N17:N63)</f>
        <v>2360136.9376000003</v>
      </c>
      <c r="O64" s="1051">
        <f>SUM(O17:O63)</f>
        <v>0</v>
      </c>
      <c r="P64" s="1034"/>
      <c r="Q64" s="1051">
        <f>SUM(Q17:Q63)</f>
        <v>0</v>
      </c>
      <c r="R64" s="1051">
        <f>SUM(R17:R63)</f>
        <v>2591690.5152800004</v>
      </c>
      <c r="S64" s="1051">
        <f>SUM(S17:S63)</f>
        <v>0</v>
      </c>
    </row>
    <row r="65" spans="1:256" s="1160" customFormat="1" ht="13.5" thickTop="1">
      <c r="A65" s="1018">
        <v>4</v>
      </c>
      <c r="B65" s="1026" t="s">
        <v>689</v>
      </c>
      <c r="C65" s="1238">
        <v>0</v>
      </c>
      <c r="D65" s="1238">
        <v>0</v>
      </c>
      <c r="E65" s="1238">
        <v>0</v>
      </c>
      <c r="F65" s="1238">
        <v>0</v>
      </c>
      <c r="G65" s="1238">
        <v>0</v>
      </c>
      <c r="I65" s="1238">
        <v>0</v>
      </c>
      <c r="J65" s="1238">
        <v>0</v>
      </c>
      <c r="K65" s="1238">
        <v>0</v>
      </c>
      <c r="M65" s="1238">
        <v>0</v>
      </c>
      <c r="N65" s="1238">
        <v>0</v>
      </c>
      <c r="O65" s="1238">
        <v>0</v>
      </c>
      <c r="Q65" s="1238">
        <v>0</v>
      </c>
      <c r="R65" s="1238">
        <v>0</v>
      </c>
      <c r="S65" s="1238">
        <v>0</v>
      </c>
      <c r="IV65" s="1238"/>
    </row>
    <row r="66" spans="1:256">
      <c r="I66" s="1052"/>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topLeftCell="D1" workbookViewId="0">
      <selection activeCell="A4" sqref="D4"/>
    </sheetView>
  </sheetViews>
  <sheetFormatPr defaultColWidth="10" defaultRowHeight="12"/>
  <cols>
    <col min="1" max="1" width="9.42578125" style="1320" customWidth="1"/>
    <col min="2" max="2" width="20.85546875" style="1321" customWidth="1"/>
    <col min="3" max="3" width="35.5703125" style="1320" customWidth="1"/>
    <col min="4" max="4" width="12.85546875" style="1320" customWidth="1"/>
    <col min="5" max="5" width="10.42578125" style="1320" customWidth="1"/>
    <col min="6" max="6" width="16.42578125" style="1320" customWidth="1"/>
    <col min="7" max="7" width="12" style="1320" customWidth="1"/>
    <col min="8" max="8" width="14.28515625" style="1320" bestFit="1" customWidth="1"/>
    <col min="9" max="9" width="18.85546875" style="1320" customWidth="1"/>
    <col min="10" max="10" width="15.5703125" style="1320" customWidth="1"/>
    <col min="11" max="11" width="16.140625" style="1320" customWidth="1"/>
    <col min="12" max="13" width="15" style="1320" customWidth="1"/>
    <col min="14" max="14" width="13.5703125" style="1320" customWidth="1"/>
    <col min="15" max="15" width="15" style="1320" customWidth="1"/>
    <col min="16" max="17" width="17.5703125" style="1320" customWidth="1"/>
    <col min="18" max="18" width="33" style="1320" customWidth="1"/>
    <col min="19" max="19" width="15" style="1320" customWidth="1"/>
    <col min="20" max="21" width="14.5703125" style="1320" bestFit="1" customWidth="1"/>
    <col min="22" max="22" width="10.5703125" style="1320" bestFit="1" customWidth="1"/>
    <col min="23" max="16384" width="10" style="1320"/>
  </cols>
  <sheetData>
    <row r="1" spans="1:23" ht="12.75">
      <c r="A1" s="1320" t="s">
        <v>879</v>
      </c>
      <c r="R1" s="1322"/>
    </row>
    <row r="2" spans="1:23" ht="12.75">
      <c r="A2" s="1320" t="s">
        <v>972</v>
      </c>
      <c r="R2" s="1322"/>
      <c r="V2" s="1323"/>
    </row>
    <row r="3" spans="1:23" ht="12.75">
      <c r="A3" s="1320" t="s">
        <v>973</v>
      </c>
      <c r="R3" s="1322"/>
      <c r="V3" s="1324"/>
    </row>
    <row r="4" spans="1:23">
      <c r="A4" s="1320" t="s">
        <v>974</v>
      </c>
      <c r="G4" s="1325"/>
    </row>
    <row r="5" spans="1:23">
      <c r="A5" s="1320" t="s">
        <v>880</v>
      </c>
      <c r="I5" s="1326"/>
      <c r="J5" s="1326"/>
      <c r="P5" s="1326"/>
      <c r="Q5" s="1326"/>
    </row>
    <row r="6" spans="1:23">
      <c r="J6" s="1326"/>
      <c r="K6" s="1327"/>
      <c r="L6" s="1321"/>
      <c r="M6" s="1321"/>
      <c r="N6" s="1321"/>
      <c r="O6" s="1321"/>
      <c r="P6" s="1321"/>
      <c r="Q6" s="1321"/>
    </row>
    <row r="7" spans="1:23">
      <c r="B7" s="1328"/>
      <c r="C7" s="1328"/>
      <c r="D7" s="1328"/>
      <c r="E7" s="1328"/>
      <c r="F7" s="1328"/>
      <c r="G7" s="1328"/>
      <c r="H7" s="1328"/>
      <c r="I7" s="1328"/>
      <c r="J7" s="1328"/>
      <c r="K7" s="1328"/>
      <c r="L7" s="1328"/>
      <c r="M7" s="1328"/>
      <c r="N7" s="1328"/>
      <c r="O7" s="1328"/>
      <c r="P7" s="1328"/>
      <c r="Q7" s="1321"/>
    </row>
    <row r="8" spans="1:23">
      <c r="A8" s="1321" t="s">
        <v>440</v>
      </c>
      <c r="B8" s="1321" t="s">
        <v>441</v>
      </c>
      <c r="C8" s="1321" t="s">
        <v>442</v>
      </c>
      <c r="D8" s="1321" t="s">
        <v>443</v>
      </c>
      <c r="E8" s="1321" t="s">
        <v>444</v>
      </c>
      <c r="F8" s="1321" t="s">
        <v>445</v>
      </c>
      <c r="G8" s="1321" t="s">
        <v>446</v>
      </c>
      <c r="H8" s="1321" t="s">
        <v>447</v>
      </c>
      <c r="I8" s="1321" t="s">
        <v>881</v>
      </c>
      <c r="J8" s="1321" t="s">
        <v>882</v>
      </c>
      <c r="K8" s="1321" t="s">
        <v>450</v>
      </c>
      <c r="L8" s="1321" t="s">
        <v>451</v>
      </c>
      <c r="M8" s="1321" t="s">
        <v>452</v>
      </c>
      <c r="N8" s="1321" t="s">
        <v>31</v>
      </c>
      <c r="O8" s="1321" t="s">
        <v>99</v>
      </c>
      <c r="P8" s="1321" t="s">
        <v>144</v>
      </c>
      <c r="Q8" s="1321" t="s">
        <v>145</v>
      </c>
      <c r="R8" s="1321" t="s">
        <v>146</v>
      </c>
    </row>
    <row r="9" spans="1:23" ht="14.45" customHeight="1">
      <c r="B9" s="2"/>
      <c r="C9" s="2"/>
      <c r="D9" s="2"/>
      <c r="E9" s="2"/>
      <c r="I9" s="1477" t="s">
        <v>1035</v>
      </c>
      <c r="J9" s="1477"/>
      <c r="K9" s="1478" t="s">
        <v>883</v>
      </c>
      <c r="L9" s="1478"/>
      <c r="M9" s="1478"/>
      <c r="N9" s="1479" t="s">
        <v>884</v>
      </c>
      <c r="O9" s="1479"/>
      <c r="P9" s="1477" t="s">
        <v>1036</v>
      </c>
      <c r="Q9" s="1477"/>
    </row>
    <row r="10" spans="1:23" ht="69.95" customHeight="1">
      <c r="A10" s="1329" t="s">
        <v>885</v>
      </c>
      <c r="B10" s="1331" t="s">
        <v>1015</v>
      </c>
      <c r="C10" s="1330" t="s">
        <v>886</v>
      </c>
      <c r="D10" s="1331" t="s">
        <v>887</v>
      </c>
      <c r="E10" s="1331" t="s">
        <v>888</v>
      </c>
      <c r="F10" s="1331" t="s">
        <v>1016</v>
      </c>
      <c r="G10" s="1331" t="s">
        <v>889</v>
      </c>
      <c r="H10" s="1331" t="s">
        <v>890</v>
      </c>
      <c r="I10" s="1332" t="s">
        <v>1017</v>
      </c>
      <c r="J10" s="1332" t="s">
        <v>1018</v>
      </c>
      <c r="K10" s="1333" t="s">
        <v>891</v>
      </c>
      <c r="L10" s="1333">
        <v>182.3</v>
      </c>
      <c r="M10" s="1333">
        <v>254</v>
      </c>
      <c r="N10" s="1333" t="s">
        <v>1019</v>
      </c>
      <c r="O10" s="1333" t="s">
        <v>892</v>
      </c>
      <c r="P10" s="1332" t="s">
        <v>1020</v>
      </c>
      <c r="Q10" s="1332" t="s">
        <v>1021</v>
      </c>
      <c r="R10" s="1334" t="s">
        <v>893</v>
      </c>
    </row>
    <row r="11" spans="1:23">
      <c r="B11" s="1320"/>
      <c r="D11" s="1335"/>
      <c r="E11" s="1335"/>
      <c r="F11" s="1335"/>
      <c r="G11" s="1335"/>
      <c r="H11" s="1335"/>
      <c r="I11" s="1336"/>
      <c r="J11" s="1336"/>
      <c r="K11" s="1336"/>
      <c r="L11" s="1336"/>
      <c r="M11" s="1336"/>
      <c r="N11" s="1336"/>
      <c r="O11" s="1336"/>
      <c r="P11" s="1480" t="s">
        <v>894</v>
      </c>
      <c r="Q11" s="1480"/>
      <c r="R11" s="1334"/>
    </row>
    <row r="12" spans="1:23">
      <c r="B12" s="1337" t="s">
        <v>895</v>
      </c>
      <c r="C12" s="1338"/>
      <c r="D12" s="1338"/>
      <c r="E12" s="1338"/>
      <c r="F12" s="1338"/>
      <c r="G12" s="1338"/>
      <c r="H12" s="1338"/>
      <c r="I12" s="1338"/>
      <c r="J12" s="1338"/>
      <c r="K12" s="1338"/>
      <c r="L12" s="1338"/>
      <c r="M12" s="1338"/>
      <c r="N12" s="1338"/>
      <c r="O12" s="1338"/>
      <c r="P12" s="1338"/>
      <c r="Q12" s="1338"/>
      <c r="R12" s="1324"/>
      <c r="S12" s="1324"/>
      <c r="T12" s="1324"/>
      <c r="U12" s="1324"/>
      <c r="V12" s="1324"/>
      <c r="W12" s="1324"/>
    </row>
    <row r="13" spans="1:23">
      <c r="A13" s="1320" t="s">
        <v>896</v>
      </c>
      <c r="B13" s="1339" t="s">
        <v>897</v>
      </c>
      <c r="C13" s="1320" t="s">
        <v>898</v>
      </c>
      <c r="D13" s="1340" t="s">
        <v>899</v>
      </c>
      <c r="E13" s="1340" t="s">
        <v>900</v>
      </c>
      <c r="F13" s="1341"/>
      <c r="G13" s="1340"/>
      <c r="H13" s="1340"/>
      <c r="I13" s="1342">
        <v>65276.736924008685</v>
      </c>
      <c r="J13" s="1343" t="s">
        <v>408</v>
      </c>
      <c r="K13" s="1342"/>
      <c r="L13" s="1342"/>
      <c r="M13" s="1342">
        <v>393.04381159751597</v>
      </c>
      <c r="N13" s="1342"/>
      <c r="O13" s="1342"/>
      <c r="P13" s="1344">
        <f>SUM(I13:O13)</f>
        <v>65669.780735606197</v>
      </c>
      <c r="Q13" s="1345" t="s">
        <v>408</v>
      </c>
      <c r="R13" s="1346" t="s">
        <v>959</v>
      </c>
      <c r="S13" s="1324"/>
      <c r="T13" s="1324"/>
      <c r="U13" s="1324"/>
      <c r="V13" s="1324"/>
      <c r="W13" s="1324"/>
    </row>
    <row r="14" spans="1:23">
      <c r="A14" s="1320" t="s">
        <v>901</v>
      </c>
      <c r="B14" s="1339" t="s">
        <v>902</v>
      </c>
      <c r="C14" s="1320" t="s">
        <v>903</v>
      </c>
      <c r="D14" s="1340" t="s">
        <v>904</v>
      </c>
      <c r="E14" s="1340" t="s">
        <v>900</v>
      </c>
      <c r="F14" s="1347"/>
      <c r="G14" s="1348" t="s">
        <v>905</v>
      </c>
      <c r="H14" s="1348" t="s">
        <v>906</v>
      </c>
      <c r="I14" s="1320" t="s">
        <v>408</v>
      </c>
      <c r="J14" s="1342">
        <v>0</v>
      </c>
      <c r="K14" s="1342"/>
      <c r="L14" s="1342"/>
      <c r="M14" s="1342"/>
      <c r="N14" s="1342"/>
      <c r="O14" s="1342"/>
      <c r="P14" s="1349" t="s">
        <v>408</v>
      </c>
      <c r="Q14" s="1350">
        <f>SUM(J14:O14)</f>
        <v>0</v>
      </c>
      <c r="R14" s="1346" t="s">
        <v>938</v>
      </c>
      <c r="S14" s="1324"/>
      <c r="T14" s="1324"/>
      <c r="U14" s="1324"/>
      <c r="V14" s="1324"/>
      <c r="W14" s="1324"/>
    </row>
    <row r="15" spans="1:23">
      <c r="A15" s="1320" t="s">
        <v>907</v>
      </c>
      <c r="B15" s="1339" t="s">
        <v>902</v>
      </c>
      <c r="C15" s="1320" t="s">
        <v>903</v>
      </c>
      <c r="D15" s="1340" t="s">
        <v>908</v>
      </c>
      <c r="E15" s="1340" t="s">
        <v>900</v>
      </c>
      <c r="F15" s="1352">
        <v>-9655</v>
      </c>
      <c r="G15" s="1348" t="s">
        <v>909</v>
      </c>
      <c r="H15" s="1348" t="s">
        <v>910</v>
      </c>
      <c r="J15" s="1342">
        <v>22240.889870673029</v>
      </c>
      <c r="K15" s="1342"/>
      <c r="L15" s="1342"/>
      <c r="M15" s="1342"/>
      <c r="N15" s="1342">
        <v>-5560.5550646634847</v>
      </c>
      <c r="O15" s="1342">
        <v>0</v>
      </c>
      <c r="P15" s="1349"/>
      <c r="Q15" s="1350">
        <f>SUM(J15:O15)</f>
        <v>16680.334806009545</v>
      </c>
      <c r="R15" s="1351" t="s">
        <v>942</v>
      </c>
      <c r="S15" s="1324"/>
      <c r="T15" s="1324"/>
      <c r="U15" s="1324"/>
      <c r="V15" s="1324"/>
      <c r="W15" s="1324"/>
    </row>
    <row r="16" spans="1:23">
      <c r="A16" s="1320" t="s">
        <v>911</v>
      </c>
      <c r="B16" s="1339" t="s">
        <v>912</v>
      </c>
      <c r="C16" s="1320" t="s">
        <v>913</v>
      </c>
      <c r="D16" s="1340" t="s">
        <v>904</v>
      </c>
      <c r="E16" s="1340" t="s">
        <v>900</v>
      </c>
      <c r="F16" s="1352"/>
      <c r="G16" s="1348"/>
      <c r="H16" s="1348"/>
      <c r="I16" s="1342">
        <v>0</v>
      </c>
      <c r="J16" s="1343"/>
      <c r="K16" s="1342"/>
      <c r="L16" s="1342"/>
      <c r="M16" s="1342"/>
      <c r="N16" s="1342"/>
      <c r="O16" s="1342"/>
      <c r="P16" s="1344">
        <f>SUM(I16:O16)</f>
        <v>0</v>
      </c>
      <c r="Q16" s="1343"/>
      <c r="R16" s="1482" t="s">
        <v>960</v>
      </c>
      <c r="S16" s="1324"/>
      <c r="T16" s="1324"/>
      <c r="U16" s="1324"/>
      <c r="V16" s="1324"/>
      <c r="W16" s="1324"/>
    </row>
    <row r="17" spans="1:23">
      <c r="A17" s="1320" t="s">
        <v>914</v>
      </c>
      <c r="B17" s="1339" t="s">
        <v>912</v>
      </c>
      <c r="C17" s="1320" t="s">
        <v>913</v>
      </c>
      <c r="D17" s="1340" t="s">
        <v>908</v>
      </c>
      <c r="E17" s="1340" t="s">
        <v>900</v>
      </c>
      <c r="F17" s="1352"/>
      <c r="G17" s="1348"/>
      <c r="H17" s="1348"/>
      <c r="I17" s="1342">
        <v>-33362</v>
      </c>
      <c r="J17" s="1343"/>
      <c r="K17" s="1342"/>
      <c r="L17" s="1342"/>
      <c r="M17" s="1342">
        <v>5560.5550646634847</v>
      </c>
      <c r="N17" s="1342"/>
      <c r="O17" s="1342"/>
      <c r="P17" s="1344">
        <f>SUM(I17:O17)</f>
        <v>-27801.444935336516</v>
      </c>
      <c r="Q17" s="1343"/>
      <c r="R17" s="1482"/>
      <c r="S17" s="1324"/>
      <c r="T17" s="1324"/>
      <c r="U17" s="1324"/>
      <c r="V17" s="1324"/>
      <c r="W17" s="1324"/>
    </row>
    <row r="18" spans="1:23">
      <c r="A18" s="1320" t="s">
        <v>915</v>
      </c>
      <c r="B18" s="1339" t="s">
        <v>916</v>
      </c>
      <c r="C18" s="1320" t="s">
        <v>917</v>
      </c>
      <c r="D18" s="1340" t="s">
        <v>908</v>
      </c>
      <c r="E18" s="1340" t="s">
        <v>900</v>
      </c>
      <c r="F18" s="1352">
        <v>2600</v>
      </c>
      <c r="G18" s="1348" t="s">
        <v>909</v>
      </c>
      <c r="H18" s="1348" t="s">
        <v>910</v>
      </c>
      <c r="I18" s="1320" t="s">
        <v>408</v>
      </c>
      <c r="J18" s="1342">
        <v>-206746.88987067301</v>
      </c>
      <c r="K18" s="1342"/>
      <c r="L18" s="1342"/>
      <c r="M18" s="1342"/>
      <c r="N18" s="1342">
        <v>4540.5550646634847</v>
      </c>
      <c r="O18" s="1342">
        <v>0</v>
      </c>
      <c r="P18" s="1349" t="s">
        <v>408</v>
      </c>
      <c r="Q18" s="1350">
        <f>SUM(J18:O18)</f>
        <v>-202206.33480600952</v>
      </c>
      <c r="R18" s="1346" t="s">
        <v>918</v>
      </c>
      <c r="S18" s="1324"/>
      <c r="T18" s="1324"/>
      <c r="U18" s="1324"/>
      <c r="V18" s="1324"/>
      <c r="W18" s="1324"/>
    </row>
    <row r="19" spans="1:23">
      <c r="A19" s="1320" t="s">
        <v>919</v>
      </c>
      <c r="B19" s="1353" t="s">
        <v>920</v>
      </c>
      <c r="C19" s="1320" t="s">
        <v>921</v>
      </c>
      <c r="D19" s="1340" t="s">
        <v>908</v>
      </c>
      <c r="E19" s="1340" t="s">
        <v>900</v>
      </c>
      <c r="F19" s="1347"/>
      <c r="G19" s="1348"/>
      <c r="H19" s="1348"/>
      <c r="I19" s="1342">
        <v>206748.67571615611</v>
      </c>
      <c r="J19" s="1343"/>
      <c r="K19" s="1342"/>
      <c r="L19" s="1342"/>
      <c r="M19" s="1342">
        <v>-4540.5550646634847</v>
      </c>
      <c r="N19" s="1342"/>
      <c r="O19" s="1342"/>
      <c r="P19" s="1344">
        <f>SUM(I19:O19)</f>
        <v>202208.12065149262</v>
      </c>
      <c r="Q19" s="1349"/>
      <c r="R19" s="1346" t="s">
        <v>961</v>
      </c>
      <c r="S19" s="1324"/>
      <c r="T19" s="1324"/>
      <c r="U19" s="1324"/>
      <c r="V19" s="1324"/>
      <c r="W19" s="1324"/>
    </row>
    <row r="20" spans="1:23">
      <c r="A20" s="1320" t="s">
        <v>922</v>
      </c>
      <c r="B20" s="1354" t="s">
        <v>923</v>
      </c>
      <c r="D20" s="1340"/>
      <c r="E20" s="1340"/>
      <c r="F20" s="1347"/>
      <c r="G20" s="1348"/>
      <c r="H20" s="1348"/>
      <c r="I20" s="1342"/>
      <c r="J20" s="1342"/>
      <c r="K20" s="1342"/>
      <c r="L20" s="1342"/>
      <c r="M20" s="1342"/>
      <c r="N20" s="1342"/>
      <c r="O20" s="1342"/>
      <c r="P20" s="1345"/>
      <c r="Q20" s="1344"/>
      <c r="R20" s="1355"/>
      <c r="S20" s="1324"/>
      <c r="T20" s="1324"/>
      <c r="U20" s="1324"/>
      <c r="V20" s="1324"/>
      <c r="W20" s="1324"/>
    </row>
    <row r="21" spans="1:23" ht="12.75">
      <c r="B21" s="1356"/>
      <c r="C21" s="1356"/>
      <c r="D21" s="1356"/>
      <c r="E21" s="1356"/>
      <c r="F21" s="1356"/>
      <c r="G21" s="1356"/>
      <c r="H21" s="1356"/>
      <c r="I21" s="1356"/>
      <c r="J21" s="1356"/>
      <c r="K21" s="1356"/>
      <c r="L21" s="1356"/>
      <c r="M21" s="1356"/>
      <c r="N21"/>
      <c r="O21"/>
      <c r="P21"/>
      <c r="Q21"/>
      <c r="R21"/>
      <c r="S21" s="1324"/>
      <c r="T21" s="1324"/>
      <c r="U21" s="1324"/>
      <c r="V21" s="1324"/>
      <c r="W21" s="1324"/>
    </row>
    <row r="22" spans="1:23" s="1324" customFormat="1">
      <c r="A22" s="1320"/>
      <c r="B22" s="1337" t="s">
        <v>924</v>
      </c>
      <c r="Q22" s="1357"/>
      <c r="R22" s="1358"/>
    </row>
    <row r="23" spans="1:23" ht="11.45" customHeight="1">
      <c r="A23" s="1320" t="s">
        <v>925</v>
      </c>
      <c r="B23" s="1359">
        <v>182.3</v>
      </c>
      <c r="C23" s="1360" t="s">
        <v>926</v>
      </c>
      <c r="D23" s="1361" t="s">
        <v>408</v>
      </c>
      <c r="E23" s="1340" t="s">
        <v>900</v>
      </c>
      <c r="F23" s="1361"/>
      <c r="G23" s="1361" t="s">
        <v>408</v>
      </c>
      <c r="H23" s="1361"/>
      <c r="I23" s="1362">
        <v>0</v>
      </c>
      <c r="J23" s="1342"/>
      <c r="K23" s="1342"/>
      <c r="L23" s="1342"/>
      <c r="M23" s="1342"/>
      <c r="N23" s="1342"/>
      <c r="O23" s="1343"/>
      <c r="P23" s="1345">
        <f>SUM(I23:O23)</f>
        <v>0</v>
      </c>
      <c r="Q23" s="1363"/>
      <c r="R23" s="1346" t="s">
        <v>927</v>
      </c>
      <c r="S23" s="1324"/>
      <c r="T23" s="1324"/>
      <c r="U23" s="1324"/>
      <c r="V23" s="1324"/>
      <c r="W23" s="1324"/>
    </row>
    <row r="24" spans="1:23" ht="11.45" customHeight="1">
      <c r="A24" s="1320" t="s">
        <v>928</v>
      </c>
      <c r="B24" s="1359">
        <v>254</v>
      </c>
      <c r="C24" s="1360" t="s">
        <v>929</v>
      </c>
      <c r="D24" s="1361" t="s">
        <v>408</v>
      </c>
      <c r="E24" s="1340" t="s">
        <v>900</v>
      </c>
      <c r="F24" s="1361"/>
      <c r="G24" s="1361" t="s">
        <v>408</v>
      </c>
      <c r="H24" s="1361"/>
      <c r="I24" s="1362">
        <v>-249784.7369240087</v>
      </c>
      <c r="J24" s="1342"/>
      <c r="K24" s="1342"/>
      <c r="L24" s="1342"/>
      <c r="M24" s="1342">
        <v>-1413.0438115975157</v>
      </c>
      <c r="N24" s="1342"/>
      <c r="O24" s="1343"/>
      <c r="P24" s="1345">
        <f>SUM(I24:O24)</f>
        <v>-251197.78073560621</v>
      </c>
      <c r="Q24" s="1363"/>
      <c r="R24" s="1346" t="s">
        <v>927</v>
      </c>
      <c r="S24" s="1324"/>
      <c r="T24" s="1324"/>
      <c r="U24" s="1324"/>
      <c r="V24" s="1324"/>
      <c r="W24" s="1324"/>
    </row>
    <row r="25" spans="1:23" ht="11.45" customHeight="1">
      <c r="A25" s="1320" t="s">
        <v>930</v>
      </c>
      <c r="B25" s="1354" t="s">
        <v>923</v>
      </c>
      <c r="C25" s="1360"/>
      <c r="D25" s="1361"/>
      <c r="E25" s="1340"/>
      <c r="F25" s="1361"/>
      <c r="G25" s="1361"/>
      <c r="H25" s="1361"/>
      <c r="I25" s="1342"/>
      <c r="J25" s="1342"/>
      <c r="K25" s="1342"/>
      <c r="L25" s="1342"/>
      <c r="M25" s="1342"/>
      <c r="N25" s="1342"/>
      <c r="O25" s="1361"/>
      <c r="P25" s="1363"/>
      <c r="Q25" s="1363"/>
      <c r="R25" s="1346"/>
      <c r="S25" s="1324"/>
      <c r="T25" s="1324"/>
      <c r="U25" s="1324"/>
      <c r="V25" s="1324"/>
      <c r="W25" s="1324"/>
    </row>
    <row r="26" spans="1:23">
      <c r="B26" s="1359"/>
      <c r="C26" s="1360"/>
      <c r="D26" s="1328"/>
      <c r="E26" s="1328"/>
      <c r="F26" s="1328"/>
      <c r="G26" s="1328"/>
      <c r="H26" s="1328"/>
      <c r="I26" s="1328"/>
      <c r="J26" s="1328"/>
      <c r="K26" s="1328"/>
      <c r="L26" s="1328"/>
      <c r="M26" s="1328"/>
      <c r="N26" s="1328"/>
      <c r="O26" s="1328"/>
      <c r="P26" s="1328"/>
      <c r="Q26" s="1328"/>
      <c r="R26" s="1364"/>
      <c r="S26" s="1324"/>
      <c r="T26" s="1324"/>
      <c r="U26" s="1324"/>
      <c r="V26" s="1324"/>
      <c r="W26" s="1324"/>
    </row>
    <row r="27" spans="1:23" ht="12.75" thickBot="1">
      <c r="A27" s="1365">
        <v>3</v>
      </c>
      <c r="B27" s="1483" t="str">
        <f>"Total For Accounting Entires (Sum of Lines "&amp;A13&amp;" through "&amp;A24&amp;")"</f>
        <v>Total For Accounting Entires (Sum of Lines 1a through 2b)</v>
      </c>
      <c r="C27" s="1483"/>
      <c r="D27" s="1361"/>
      <c r="E27" s="1361"/>
      <c r="F27" s="1361"/>
      <c r="G27" s="1361"/>
      <c r="H27" s="1361"/>
      <c r="I27" s="1366">
        <v>-11121.324283843918</v>
      </c>
      <c r="J27" s="1367">
        <v>-184505.99999999997</v>
      </c>
      <c r="K27" s="1368">
        <f>SUM(K13:K26)</f>
        <v>0</v>
      </c>
      <c r="L27" s="1368">
        <f>SUM(L13:L26)</f>
        <v>0</v>
      </c>
      <c r="M27" s="1368">
        <f>SUM(M13:M26)</f>
        <v>0</v>
      </c>
      <c r="N27" s="1367">
        <f>-SUM(N13:N26)</f>
        <v>1020</v>
      </c>
      <c r="O27" s="1367">
        <f>-SUM(O13:O26)</f>
        <v>0</v>
      </c>
      <c r="P27" s="1368">
        <f>SUM(P13:P26)</f>
        <v>-11121.324283843918</v>
      </c>
      <c r="Q27" s="1367">
        <f>SUM(Q13:Q26)</f>
        <v>-185525.99999999997</v>
      </c>
      <c r="R27" s="1369"/>
      <c r="S27" s="1324"/>
      <c r="T27" s="1324"/>
      <c r="U27" s="1324"/>
      <c r="V27" s="1324"/>
      <c r="W27" s="1324"/>
    </row>
    <row r="28" spans="1:23" ht="12.75" thickTop="1">
      <c r="B28" s="1359"/>
      <c r="C28" s="1360"/>
      <c r="D28" s="1328"/>
      <c r="E28" s="1328"/>
      <c r="F28" s="1328"/>
      <c r="G28" s="1328"/>
      <c r="H28" s="1328"/>
      <c r="I28" s="1370"/>
      <c r="J28" s="1352"/>
      <c r="K28" s="1371"/>
      <c r="L28" s="1371"/>
      <c r="M28" s="1371"/>
      <c r="N28" s="1372" t="s">
        <v>931</v>
      </c>
      <c r="O28" s="1372"/>
      <c r="P28" s="1371"/>
      <c r="Q28" s="1373"/>
      <c r="R28" s="1369"/>
      <c r="S28" s="1324"/>
      <c r="T28" s="1324"/>
      <c r="U28" s="1324"/>
      <c r="V28" s="1324"/>
      <c r="W28" s="1324"/>
    </row>
    <row r="29" spans="1:23">
      <c r="B29" s="1320"/>
      <c r="C29" s="1360"/>
      <c r="D29" s="1328"/>
      <c r="E29" s="1328"/>
      <c r="F29" s="1328"/>
      <c r="G29" s="1328"/>
      <c r="H29" s="1328"/>
      <c r="I29" s="1370"/>
      <c r="J29" s="1373"/>
      <c r="K29" s="1371"/>
      <c r="L29" s="1371"/>
      <c r="M29" s="1371"/>
      <c r="N29" s="1373"/>
      <c r="O29" s="1373"/>
      <c r="P29" s="1371"/>
      <c r="Q29" s="1373"/>
      <c r="R29" s="1369"/>
      <c r="S29" s="1324"/>
      <c r="T29" s="1324"/>
      <c r="U29" s="1324"/>
      <c r="V29" s="1324"/>
      <c r="W29" s="1324"/>
    </row>
    <row r="30" spans="1:23" ht="15" customHeight="1">
      <c r="A30" s="1374" t="s">
        <v>932</v>
      </c>
      <c r="B30" s="1481" t="s">
        <v>933</v>
      </c>
      <c r="C30" s="1481"/>
      <c r="D30" s="1481"/>
      <c r="E30" s="1481"/>
      <c r="F30" s="1481"/>
      <c r="G30" s="1481"/>
      <c r="H30" s="1481"/>
      <c r="I30" s="1481"/>
      <c r="J30" s="1481"/>
      <c r="K30" s="1375"/>
      <c r="L30" s="1376"/>
      <c r="O30" s="1377"/>
      <c r="P30" s="1377"/>
      <c r="Q30" s="1377"/>
      <c r="R30" s="1324"/>
    </row>
    <row r="31" spans="1:23">
      <c r="B31" s="1481"/>
      <c r="C31" s="1481"/>
      <c r="D31" s="1481"/>
      <c r="E31" s="1481"/>
      <c r="F31" s="1481"/>
      <c r="G31" s="1481"/>
      <c r="H31" s="1481"/>
      <c r="I31" s="1481"/>
      <c r="J31" s="1481"/>
      <c r="K31" s="1375"/>
      <c r="L31" s="1376"/>
      <c r="O31" s="1377"/>
      <c r="R31" s="1324"/>
    </row>
    <row r="32" spans="1:23">
      <c r="B32" s="1481"/>
      <c r="C32" s="1481"/>
      <c r="D32" s="1481"/>
      <c r="E32" s="1481"/>
      <c r="F32" s="1481"/>
      <c r="G32" s="1481"/>
      <c r="H32" s="1481"/>
      <c r="I32" s="1481"/>
      <c r="J32" s="1481"/>
      <c r="K32" s="1375"/>
      <c r="L32" s="1376"/>
      <c r="R32" s="1324"/>
    </row>
    <row r="33" spans="1:18">
      <c r="B33" s="1481"/>
      <c r="C33" s="1481"/>
      <c r="D33" s="1481"/>
      <c r="E33" s="1481"/>
      <c r="F33" s="1481"/>
      <c r="G33" s="1481"/>
      <c r="H33" s="1481"/>
      <c r="I33" s="1481"/>
      <c r="J33" s="1481"/>
      <c r="K33" s="1375"/>
      <c r="L33" s="1376"/>
      <c r="P33" s="1377"/>
      <c r="Q33" s="1377"/>
      <c r="R33" s="1324"/>
    </row>
    <row r="34" spans="1:18">
      <c r="B34" s="1481"/>
      <c r="C34" s="1481"/>
      <c r="D34" s="1481"/>
      <c r="E34" s="1481"/>
      <c r="F34" s="1481"/>
      <c r="G34" s="1481"/>
      <c r="H34" s="1481"/>
      <c r="I34" s="1481"/>
      <c r="J34" s="1481"/>
      <c r="K34" s="1375"/>
      <c r="R34" s="1324"/>
    </row>
    <row r="35" spans="1:18">
      <c r="B35" s="1481"/>
      <c r="C35" s="1481"/>
      <c r="D35" s="1481"/>
      <c r="E35" s="1481"/>
      <c r="F35" s="1481"/>
      <c r="G35" s="1481"/>
      <c r="H35" s="1481"/>
      <c r="I35" s="1481"/>
      <c r="J35" s="1481"/>
      <c r="K35" s="1375"/>
      <c r="R35" s="1324"/>
    </row>
    <row r="36" spans="1:18" ht="5.0999999999999996" customHeight="1">
      <c r="B36" s="1375"/>
      <c r="C36" s="1375"/>
      <c r="D36" s="1375"/>
      <c r="E36" s="1375"/>
      <c r="F36" s="1375"/>
      <c r="G36" s="1375"/>
      <c r="H36" s="1375"/>
      <c r="I36" s="1375"/>
      <c r="J36" s="1375"/>
      <c r="K36" s="1375"/>
      <c r="R36" s="1324"/>
    </row>
    <row r="37" spans="1:18" ht="12.6" customHeight="1">
      <c r="A37" s="1320" t="s">
        <v>934</v>
      </c>
      <c r="B37" s="1378" t="s">
        <v>964</v>
      </c>
      <c r="C37" s="1378"/>
      <c r="D37" s="1378"/>
      <c r="E37" s="1378"/>
      <c r="F37" s="1378"/>
      <c r="G37" s="1378"/>
      <c r="H37" s="1378"/>
      <c r="I37" s="1378"/>
      <c r="J37" s="1378"/>
      <c r="K37" s="1375"/>
      <c r="R37" s="1324"/>
    </row>
    <row r="38" spans="1:18" ht="5.0999999999999996" customHeight="1">
      <c r="B38" s="1375"/>
      <c r="C38" s="1375"/>
      <c r="D38" s="1375"/>
      <c r="E38" s="1375"/>
      <c r="F38" s="1375"/>
      <c r="G38" s="1375"/>
      <c r="H38" s="1375"/>
      <c r="I38" s="1375"/>
      <c r="J38" s="1375"/>
      <c r="K38" s="1375"/>
      <c r="R38" s="1324"/>
    </row>
    <row r="39" spans="1:18" s="1380" customFormat="1" ht="12.6" customHeight="1">
      <c r="A39" s="1320" t="s">
        <v>935</v>
      </c>
      <c r="B39" s="1484" t="s">
        <v>965</v>
      </c>
      <c r="C39" s="1484"/>
      <c r="D39" s="1484"/>
      <c r="E39" s="1484"/>
      <c r="F39" s="1484"/>
      <c r="G39" s="1484"/>
      <c r="H39" s="1484"/>
      <c r="I39" s="1484"/>
      <c r="J39" s="1484"/>
      <c r="K39" s="1379"/>
      <c r="R39" s="1357"/>
    </row>
    <row r="40" spans="1:18" s="1380" customFormat="1" ht="12.6" customHeight="1">
      <c r="A40" s="1320"/>
      <c r="B40" s="1484"/>
      <c r="C40" s="1484"/>
      <c r="D40" s="1484"/>
      <c r="E40" s="1484"/>
      <c r="F40" s="1484"/>
      <c r="G40" s="1484"/>
      <c r="H40" s="1484"/>
      <c r="I40" s="1484"/>
      <c r="J40" s="1484"/>
      <c r="K40" s="1379"/>
      <c r="R40" s="1357"/>
    </row>
    <row r="41" spans="1:18" ht="5.0999999999999996" customHeight="1">
      <c r="B41" s="1375"/>
      <c r="C41" s="1375"/>
      <c r="D41" s="1375"/>
      <c r="E41" s="1375"/>
      <c r="F41" s="1375"/>
      <c r="G41" s="1375"/>
      <c r="H41" s="1375"/>
      <c r="I41" s="1375"/>
      <c r="J41" s="1375"/>
      <c r="K41" s="1375"/>
      <c r="R41" s="1324"/>
    </row>
    <row r="42" spans="1:18">
      <c r="A42" s="1320" t="s">
        <v>936</v>
      </c>
      <c r="B42" s="1381" t="s">
        <v>966</v>
      </c>
      <c r="C42" s="1375"/>
      <c r="D42" s="1375"/>
      <c r="E42" s="1375"/>
      <c r="F42" s="1375"/>
      <c r="G42" s="1375"/>
      <c r="H42" s="1375"/>
      <c r="I42" s="1375"/>
      <c r="J42" s="1375"/>
      <c r="K42" s="1375"/>
      <c r="R42" s="1324"/>
    </row>
    <row r="43" spans="1:18" ht="8.1" customHeight="1">
      <c r="B43" s="1381"/>
      <c r="C43" s="1375"/>
      <c r="D43" s="1375"/>
      <c r="E43" s="1375"/>
      <c r="F43" s="1375"/>
      <c r="G43" s="1375"/>
      <c r="H43" s="1375"/>
      <c r="I43" s="1375"/>
      <c r="J43" s="1375"/>
      <c r="K43" s="1375"/>
      <c r="R43" s="1324"/>
    </row>
    <row r="44" spans="1:18" ht="12" customHeight="1">
      <c r="A44" s="1365" t="s">
        <v>937</v>
      </c>
      <c r="B44" s="1481" t="s">
        <v>967</v>
      </c>
      <c r="C44" s="1481"/>
      <c r="D44" s="1481"/>
      <c r="E44" s="1481"/>
      <c r="F44" s="1481"/>
      <c r="G44" s="1481"/>
      <c r="H44" s="1481"/>
      <c r="I44" s="1481"/>
      <c r="J44" s="1375"/>
      <c r="K44" s="1376"/>
      <c r="R44" s="1324"/>
    </row>
    <row r="45" spans="1:18" ht="11.45" customHeight="1">
      <c r="B45" s="1481"/>
      <c r="C45" s="1481"/>
      <c r="D45" s="1481"/>
      <c r="E45" s="1481"/>
      <c r="F45" s="1481"/>
      <c r="G45" s="1481"/>
      <c r="H45" s="1481"/>
      <c r="I45" s="1481"/>
      <c r="J45" s="1375"/>
      <c r="R45" s="1324"/>
    </row>
    <row r="46" spans="1:18">
      <c r="R46" s="1324"/>
    </row>
    <row r="47" spans="1:18">
      <c r="A47" s="1365" t="s">
        <v>968</v>
      </c>
      <c r="B47" s="1481" t="s">
        <v>969</v>
      </c>
      <c r="C47" s="1481"/>
      <c r="D47" s="1481"/>
      <c r="E47" s="1481"/>
      <c r="F47" s="1481"/>
      <c r="G47" s="1481"/>
      <c r="H47" s="1481"/>
      <c r="I47" s="1481"/>
      <c r="R47" s="1324"/>
    </row>
    <row r="48" spans="1:18">
      <c r="B48" s="1481"/>
      <c r="C48" s="1481"/>
      <c r="D48" s="1481"/>
      <c r="E48" s="1481"/>
      <c r="F48" s="1481"/>
      <c r="G48" s="1481"/>
      <c r="H48" s="1481"/>
      <c r="I48" s="1481"/>
      <c r="R48" s="1324"/>
    </row>
    <row r="50" spans="1:11">
      <c r="A50" s="1365" t="s">
        <v>970</v>
      </c>
      <c r="B50" s="1376" t="s">
        <v>971</v>
      </c>
      <c r="C50" s="1376"/>
      <c r="D50" s="1376"/>
      <c r="E50" s="1376"/>
      <c r="F50" s="1376"/>
      <c r="G50" s="1376"/>
    </row>
    <row r="53" spans="1:11">
      <c r="A53" s="1374"/>
      <c r="B53" s="1374"/>
      <c r="C53" s="1374"/>
      <c r="D53" s="1374"/>
      <c r="E53" s="1374"/>
      <c r="F53" s="1374"/>
      <c r="G53" s="1374"/>
      <c r="H53" s="1374"/>
      <c r="I53" s="1374"/>
      <c r="J53" s="1374"/>
      <c r="K53" s="1374"/>
    </row>
    <row r="54" spans="1:11">
      <c r="A54" s="1374"/>
      <c r="B54" s="1374"/>
      <c r="C54" s="1374"/>
      <c r="D54" s="1374"/>
      <c r="E54" s="1374"/>
      <c r="F54" s="1374"/>
      <c r="G54" s="1374"/>
      <c r="H54" s="1374"/>
      <c r="I54" s="1374"/>
      <c r="J54" s="1374"/>
      <c r="K54" s="1374"/>
    </row>
    <row r="55" spans="1:11">
      <c r="D55" s="1374"/>
      <c r="E55" s="1374"/>
      <c r="F55" s="1374"/>
      <c r="G55" s="1374"/>
      <c r="H55" s="1374"/>
      <c r="I55" s="1374"/>
      <c r="J55" s="1374"/>
      <c r="K55" s="1374"/>
    </row>
    <row r="56" spans="1:11">
      <c r="A56" s="1374"/>
      <c r="B56" s="1374"/>
      <c r="C56" s="1374"/>
      <c r="D56" s="1374"/>
      <c r="E56" s="1374"/>
      <c r="F56" s="1374"/>
      <c r="G56" s="1374"/>
      <c r="H56" s="1374"/>
      <c r="I56" s="1374"/>
      <c r="J56" s="1374"/>
      <c r="K56" s="1374"/>
    </row>
    <row r="57" spans="1:11">
      <c r="A57" s="1374"/>
      <c r="B57" s="1374"/>
      <c r="C57" s="1374"/>
      <c r="D57" s="1374"/>
      <c r="E57" s="1374"/>
      <c r="F57" s="1374"/>
      <c r="G57" s="1374"/>
      <c r="H57" s="1374"/>
      <c r="I57" s="1374"/>
      <c r="J57" s="1374"/>
      <c r="K57" s="1374"/>
    </row>
    <row r="58" spans="1:11">
      <c r="A58" s="1374"/>
      <c r="B58" s="1374"/>
      <c r="C58" s="1374"/>
      <c r="D58" s="1374"/>
      <c r="E58" s="1374"/>
      <c r="F58" s="1374"/>
      <c r="G58" s="1374"/>
      <c r="H58" s="1374"/>
      <c r="I58" s="1374"/>
      <c r="J58" s="1374"/>
      <c r="K58" s="1374"/>
    </row>
    <row r="59" spans="1:11">
      <c r="A59" s="1374"/>
      <c r="B59" s="1374"/>
      <c r="C59" s="1374"/>
      <c r="D59" s="1374"/>
      <c r="E59" s="1374"/>
      <c r="F59" s="1374"/>
      <c r="G59" s="1374"/>
      <c r="H59" s="1374"/>
      <c r="I59" s="1374"/>
      <c r="J59" s="1374"/>
      <c r="K59" s="1374"/>
    </row>
    <row r="60" spans="1:11">
      <c r="A60" s="1374"/>
      <c r="B60" s="1374"/>
      <c r="C60" s="1374"/>
      <c r="D60" s="1374"/>
      <c r="E60" s="1374"/>
      <c r="F60" s="1374"/>
      <c r="G60" s="1374"/>
      <c r="H60" s="1374"/>
      <c r="I60" s="1374"/>
      <c r="J60" s="1374"/>
      <c r="K60" s="1374"/>
    </row>
    <row r="61" spans="1:11">
      <c r="A61" s="1374"/>
      <c r="B61" s="1374"/>
      <c r="C61" s="1374"/>
      <c r="D61" s="1374"/>
      <c r="E61" s="1374"/>
      <c r="F61" s="1374"/>
      <c r="G61" s="1374"/>
      <c r="H61" s="1374"/>
      <c r="I61" s="1374"/>
      <c r="J61" s="1374"/>
      <c r="K61" s="1374"/>
    </row>
    <row r="62" spans="1:11">
      <c r="A62" s="1374"/>
      <c r="B62" s="1374"/>
      <c r="C62" s="1374"/>
      <c r="D62" s="1374"/>
      <c r="E62" s="1374"/>
      <c r="F62" s="1374"/>
      <c r="G62" s="1374"/>
      <c r="H62" s="1374"/>
      <c r="I62" s="1374"/>
      <c r="J62" s="1374"/>
      <c r="K62" s="1374"/>
    </row>
    <row r="63" spans="1:11">
      <c r="A63" s="1374"/>
      <c r="B63" s="1374"/>
      <c r="C63" s="1374"/>
      <c r="D63" s="1374"/>
      <c r="E63" s="1374"/>
      <c r="F63" s="1374"/>
      <c r="G63" s="1374"/>
      <c r="H63" s="1374"/>
      <c r="I63" s="1374"/>
      <c r="J63" s="1374"/>
      <c r="K63" s="1374"/>
    </row>
    <row r="70" spans="1:11">
      <c r="B70" s="1365"/>
    </row>
    <row r="71" spans="1:11">
      <c r="B71" s="1376"/>
    </row>
    <row r="72" spans="1:11">
      <c r="B72" s="1376"/>
    </row>
    <row r="73" spans="1:11">
      <c r="B73" s="1376"/>
    </row>
    <row r="74" spans="1:11">
      <c r="B74" s="1376"/>
      <c r="D74" s="1380"/>
      <c r="E74" s="1380"/>
      <c r="F74" s="1380"/>
    </row>
    <row r="75" spans="1:11">
      <c r="A75" s="1382"/>
      <c r="B75" s="1374"/>
      <c r="C75" s="1374"/>
      <c r="D75" s="1374"/>
      <c r="E75" s="1374"/>
      <c r="F75" s="1374"/>
      <c r="G75" s="1374"/>
      <c r="H75" s="1374"/>
      <c r="I75" s="1374"/>
      <c r="J75" s="1374"/>
      <c r="K75" s="1374"/>
    </row>
    <row r="76" spans="1:11">
      <c r="A76" s="1374"/>
      <c r="B76" s="1374"/>
      <c r="C76" s="1374"/>
      <c r="D76" s="1374"/>
      <c r="E76" s="1374"/>
      <c r="F76" s="1374"/>
      <c r="G76" s="1374"/>
      <c r="H76" s="1374"/>
      <c r="I76" s="1374"/>
      <c r="J76" s="1374"/>
      <c r="K76" s="1374"/>
    </row>
    <row r="77" spans="1:11">
      <c r="A77" s="1374"/>
      <c r="B77" s="1374"/>
      <c r="C77" s="1374"/>
      <c r="D77" s="1374"/>
      <c r="E77" s="1374"/>
      <c r="F77" s="1374"/>
      <c r="G77" s="1374"/>
      <c r="H77" s="1374"/>
      <c r="I77" s="1374"/>
      <c r="J77" s="1374"/>
      <c r="K77" s="1374"/>
    </row>
    <row r="78" spans="1:11">
      <c r="A78" s="1374"/>
      <c r="B78" s="1374"/>
      <c r="C78" s="1374"/>
      <c r="D78" s="1374"/>
      <c r="E78" s="1374"/>
      <c r="F78" s="1374"/>
      <c r="G78" s="1374"/>
      <c r="H78" s="1374"/>
      <c r="I78" s="1374"/>
      <c r="J78" s="1374"/>
      <c r="K78" s="1374"/>
    </row>
    <row r="79" spans="1:11">
      <c r="A79" s="1374"/>
      <c r="B79" s="1374"/>
      <c r="C79" s="1374"/>
      <c r="D79" s="1383"/>
      <c r="E79" s="1383"/>
      <c r="F79" s="1383"/>
      <c r="G79" s="1374"/>
      <c r="H79" s="1374"/>
      <c r="I79" s="1374"/>
      <c r="J79" s="1374"/>
      <c r="K79" s="1374"/>
    </row>
    <row r="80" spans="1:11">
      <c r="A80" s="1374"/>
      <c r="B80" s="1374"/>
      <c r="C80" s="1374"/>
      <c r="D80" s="1377"/>
      <c r="E80" s="1377"/>
      <c r="F80" s="1377"/>
      <c r="G80" s="1374"/>
      <c r="H80" s="1374"/>
      <c r="I80" s="1374"/>
      <c r="J80" s="1374"/>
      <c r="K80" s="1374"/>
    </row>
    <row r="81" spans="1:11">
      <c r="A81" s="1374"/>
      <c r="B81" s="1374"/>
      <c r="C81" s="1374"/>
      <c r="D81" s="1383"/>
      <c r="E81" s="1383"/>
      <c r="F81" s="1383"/>
      <c r="G81" s="1374"/>
      <c r="H81" s="1374"/>
      <c r="I81" s="1374"/>
      <c r="J81" s="1374"/>
      <c r="K81" s="1374"/>
    </row>
    <row r="82" spans="1:11">
      <c r="A82" s="1374"/>
      <c r="B82" s="1374"/>
      <c r="C82" s="1374"/>
      <c r="D82" s="1374"/>
      <c r="E82" s="1374"/>
      <c r="F82" s="1374"/>
      <c r="G82" s="1374"/>
      <c r="H82" s="1374"/>
      <c r="I82" s="1374"/>
      <c r="J82" s="1374"/>
      <c r="K82" s="1374"/>
    </row>
    <row r="83" spans="1:11">
      <c r="A83" s="1374"/>
      <c r="B83" s="1374"/>
      <c r="C83" s="1374"/>
      <c r="D83" s="1374"/>
      <c r="E83" s="1374"/>
      <c r="F83" s="1374"/>
      <c r="G83" s="1374"/>
      <c r="H83" s="1374"/>
      <c r="I83" s="1374"/>
      <c r="J83" s="1374"/>
      <c r="K83" s="1374"/>
    </row>
    <row r="84" spans="1:11">
      <c r="A84" s="1374"/>
      <c r="B84" s="1374"/>
      <c r="C84" s="1374"/>
      <c r="D84" s="1374"/>
      <c r="E84" s="1374"/>
      <c r="F84" s="1374"/>
      <c r="G84" s="1374"/>
      <c r="H84" s="1374"/>
      <c r="I84" s="1374"/>
      <c r="J84" s="1374"/>
      <c r="K84" s="1374"/>
    </row>
    <row r="85" spans="1:11">
      <c r="A85" s="1374"/>
      <c r="C85" s="1374"/>
      <c r="D85" s="1374"/>
      <c r="E85" s="1374"/>
      <c r="F85" s="1374"/>
      <c r="G85" s="1374"/>
      <c r="H85" s="1374"/>
      <c r="I85" s="1374"/>
      <c r="J85" s="1374"/>
      <c r="K85" s="1374"/>
    </row>
    <row r="86" spans="1:11">
      <c r="A86" s="1374"/>
      <c r="B86" s="1374"/>
      <c r="C86" s="1374"/>
      <c r="D86" s="1374"/>
      <c r="E86" s="1374"/>
      <c r="F86" s="1374"/>
      <c r="G86" s="1374"/>
      <c r="H86" s="1374"/>
      <c r="I86" s="1374"/>
      <c r="J86" s="1374"/>
      <c r="K86" s="1374"/>
    </row>
    <row r="87" spans="1:11">
      <c r="A87" s="1374"/>
      <c r="B87" s="1374"/>
      <c r="C87" s="1374"/>
      <c r="D87" s="1374"/>
      <c r="E87" s="1374"/>
      <c r="F87" s="1374"/>
      <c r="G87" s="1374"/>
      <c r="H87" s="1374"/>
      <c r="I87" s="1374"/>
      <c r="J87" s="1374"/>
      <c r="K87" s="1374"/>
    </row>
  </sheetData>
  <mergeCells count="11">
    <mergeCell ref="B47:I48"/>
    <mergeCell ref="R16:R17"/>
    <mergeCell ref="B27:C27"/>
    <mergeCell ref="B30:J35"/>
    <mergeCell ref="B39:J40"/>
    <mergeCell ref="B44:I45"/>
    <mergeCell ref="I9:J9"/>
    <mergeCell ref="K9:M9"/>
    <mergeCell ref="N9:O9"/>
    <mergeCell ref="P9:Q9"/>
    <mergeCell ref="P11:Q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workbookViewId="0">
      <selection activeCell="A4" sqref="D4"/>
    </sheetView>
  </sheetViews>
  <sheetFormatPr defaultRowHeight="12.75"/>
  <cols>
    <col min="1" max="4" width="9.140625" style="1188"/>
    <col min="5" max="5" width="30.28515625" style="1188" bestFit="1" customWidth="1"/>
    <col min="6" max="6" width="13" style="1188" customWidth="1"/>
    <col min="7" max="7" width="9.140625" style="1188"/>
    <col min="8" max="8" width="15.28515625" style="1188" customWidth="1"/>
    <col min="9" max="9" width="2.42578125" style="1188" customWidth="1"/>
    <col min="10" max="10" width="14.7109375" style="1188" customWidth="1"/>
    <col min="11" max="11" width="2.5703125" style="1188" customWidth="1"/>
    <col min="12" max="12" width="18.42578125" style="1188" customWidth="1"/>
    <col min="13" max="13" width="13.42578125" style="1188" customWidth="1"/>
    <col min="14" max="14" width="4.42578125" style="1188" customWidth="1"/>
    <col min="15" max="15" width="15.28515625" style="1188" customWidth="1"/>
    <col min="16" max="16384" width="9.140625" style="1188"/>
  </cols>
  <sheetData>
    <row r="1" spans="1:15" ht="15">
      <c r="A1" s="1393" t="s">
        <v>975</v>
      </c>
      <c r="B1" s="1394"/>
      <c r="C1" s="1394"/>
      <c r="D1" s="1394"/>
      <c r="E1" s="1394"/>
      <c r="F1" s="1394"/>
      <c r="G1" s="1394"/>
      <c r="H1" s="1394"/>
      <c r="I1" s="1394"/>
      <c r="J1" s="1394"/>
      <c r="K1" s="1394"/>
      <c r="L1" s="1395"/>
      <c r="M1" s="1395"/>
      <c r="N1" s="1396"/>
      <c r="O1" s="1397" t="s">
        <v>976</v>
      </c>
    </row>
    <row r="2" spans="1:15">
      <c r="A2" s="1393" t="s">
        <v>977</v>
      </c>
      <c r="B2" s="1394"/>
      <c r="C2" s="1394"/>
      <c r="D2" s="1394"/>
      <c r="E2" s="1394"/>
      <c r="F2" s="1394"/>
      <c r="G2" s="1394"/>
      <c r="H2" s="1394"/>
      <c r="I2" s="1394"/>
      <c r="J2" s="1394"/>
      <c r="K2" s="1394"/>
      <c r="L2" s="1394"/>
      <c r="M2" s="1394"/>
      <c r="N2" s="1396"/>
      <c r="O2" s="1398" t="s">
        <v>978</v>
      </c>
    </row>
    <row r="3" spans="1:15">
      <c r="A3" s="1393" t="s">
        <v>972</v>
      </c>
      <c r="B3" s="1394"/>
      <c r="C3" s="1394"/>
      <c r="D3" s="1394"/>
      <c r="E3" s="1394"/>
      <c r="F3" s="1394"/>
      <c r="G3" s="1394"/>
      <c r="H3" s="1394"/>
      <c r="I3" s="1394"/>
      <c r="J3" s="1394"/>
      <c r="K3" s="1394"/>
      <c r="L3" s="1394"/>
      <c r="M3" s="1394"/>
      <c r="N3" s="1396"/>
      <c r="O3" s="1398" t="s">
        <v>979</v>
      </c>
    </row>
    <row r="4" spans="1:15">
      <c r="A4" s="1393" t="s">
        <v>980</v>
      </c>
      <c r="B4" s="1394"/>
      <c r="C4" s="1394"/>
      <c r="D4" s="1394"/>
      <c r="E4" s="1394"/>
      <c r="F4" s="1394"/>
      <c r="G4" s="1394"/>
      <c r="H4" s="1394"/>
      <c r="I4" s="1394"/>
      <c r="J4" s="1394"/>
      <c r="K4" s="1394"/>
      <c r="L4" s="1394"/>
      <c r="M4" s="1394"/>
      <c r="N4" s="1396"/>
      <c r="O4" s="1397" t="s">
        <v>981</v>
      </c>
    </row>
    <row r="5" spans="1:15">
      <c r="A5" s="1393" t="s">
        <v>982</v>
      </c>
      <c r="B5" s="1394"/>
      <c r="C5" s="1394"/>
      <c r="D5" s="1394"/>
      <c r="E5" s="1394"/>
      <c r="F5" s="1394"/>
      <c r="G5" s="1394"/>
      <c r="H5" s="1394"/>
      <c r="I5" s="1394"/>
      <c r="J5" s="1394"/>
      <c r="K5" s="1394"/>
      <c r="L5" s="1394"/>
      <c r="M5" s="1394"/>
      <c r="N5" s="1396"/>
      <c r="O5" s="1399"/>
    </row>
    <row r="6" spans="1:15">
      <c r="A6" s="1393" t="s">
        <v>880</v>
      </c>
      <c r="B6" s="1394"/>
      <c r="C6" s="1394"/>
      <c r="D6" s="1394"/>
      <c r="E6" s="1394"/>
      <c r="F6" s="1394"/>
      <c r="G6" s="1394"/>
      <c r="H6" s="1394"/>
      <c r="I6" s="1394"/>
      <c r="J6" s="1394"/>
      <c r="K6" s="1394"/>
      <c r="L6" s="1394"/>
      <c r="M6" s="1394"/>
      <c r="N6" s="1396"/>
      <c r="O6" s="1394"/>
    </row>
    <row r="7" spans="1:15">
      <c r="A7" s="1486" t="s">
        <v>983</v>
      </c>
      <c r="B7" s="1486"/>
      <c r="C7" s="1486"/>
      <c r="D7" s="1486"/>
      <c r="E7" s="1486"/>
      <c r="F7" s="1486"/>
      <c r="G7" s="1486"/>
      <c r="H7" s="1486"/>
      <c r="I7" s="1486"/>
      <c r="J7" s="1486"/>
      <c r="K7" s="1486"/>
      <c r="L7" s="1486"/>
      <c r="M7" s="1400"/>
      <c r="N7" s="1396"/>
      <c r="O7" s="1394"/>
    </row>
    <row r="8" spans="1:15">
      <c r="A8" s="1393"/>
      <c r="B8" s="1394"/>
      <c r="C8" s="1394"/>
      <c r="D8" s="1394"/>
      <c r="E8" s="1394"/>
      <c r="F8" s="1394"/>
      <c r="G8" s="1394"/>
      <c r="H8" s="1394"/>
      <c r="I8" s="1394"/>
      <c r="J8" s="1394"/>
      <c r="K8" s="1394"/>
      <c r="L8" s="1394"/>
      <c r="M8" s="1394"/>
      <c r="N8" s="1396"/>
      <c r="O8" s="1394"/>
    </row>
    <row r="9" spans="1:15">
      <c r="A9" s="1401" t="s">
        <v>440</v>
      </c>
      <c r="B9" s="1402" t="s">
        <v>441</v>
      </c>
      <c r="C9" s="1402"/>
      <c r="D9" s="1402" t="s">
        <v>442</v>
      </c>
      <c r="E9" s="1402" t="s">
        <v>443</v>
      </c>
      <c r="F9" s="1402" t="s">
        <v>444</v>
      </c>
      <c r="G9" s="1402"/>
      <c r="H9" s="1402" t="s">
        <v>984</v>
      </c>
      <c r="I9" s="1402"/>
      <c r="J9" s="1402" t="s">
        <v>446</v>
      </c>
      <c r="K9" s="1402"/>
      <c r="L9" s="1402" t="s">
        <v>985</v>
      </c>
      <c r="M9" s="1402" t="s">
        <v>448</v>
      </c>
      <c r="N9" s="1396"/>
      <c r="O9" s="1402" t="s">
        <v>986</v>
      </c>
    </row>
    <row r="10" spans="1:15">
      <c r="A10" s="1403"/>
      <c r="B10" s="1394"/>
      <c r="C10" s="1394"/>
      <c r="D10" s="1394"/>
      <c r="E10" s="1394"/>
      <c r="F10" s="1404"/>
      <c r="G10" s="1404"/>
      <c r="H10" s="1404"/>
      <c r="I10" s="1394"/>
      <c r="J10" s="1394"/>
      <c r="K10" s="1394"/>
      <c r="L10" s="1394"/>
      <c r="M10" s="1394"/>
      <c r="N10" s="1396"/>
      <c r="O10" s="1394"/>
    </row>
    <row r="11" spans="1:15" ht="63.75">
      <c r="A11" s="1403" t="s">
        <v>987</v>
      </c>
      <c r="B11" s="1394" t="s">
        <v>988</v>
      </c>
      <c r="C11" s="1394"/>
      <c r="D11" s="1405" t="s">
        <v>989</v>
      </c>
      <c r="E11" s="1402" t="s">
        <v>893</v>
      </c>
      <c r="F11" s="1406" t="s">
        <v>990</v>
      </c>
      <c r="G11" s="1406"/>
      <c r="H11" s="1406" t="s">
        <v>991</v>
      </c>
      <c r="I11" s="1218"/>
      <c r="J11" s="1406" t="s">
        <v>992</v>
      </c>
      <c r="K11" s="1407"/>
      <c r="L11" s="1406" t="s">
        <v>993</v>
      </c>
      <c r="M11" s="1406" t="s">
        <v>994</v>
      </c>
      <c r="N11" s="1396"/>
      <c r="O11" s="1405" t="s">
        <v>995</v>
      </c>
    </row>
    <row r="12" spans="1:15">
      <c r="A12" s="1393"/>
      <c r="B12" s="1394"/>
      <c r="C12" s="1394"/>
      <c r="D12" s="1396"/>
      <c r="E12" s="1396"/>
      <c r="F12" s="1396"/>
      <c r="G12" s="1396"/>
      <c r="H12" s="1396"/>
      <c r="I12" s="1396"/>
      <c r="J12" s="1396"/>
      <c r="K12" s="1396"/>
      <c r="L12" s="1396"/>
      <c r="M12" s="1396"/>
      <c r="N12" s="1396"/>
      <c r="O12" s="1394"/>
    </row>
    <row r="13" spans="1:15">
      <c r="A13" s="1408">
        <v>1</v>
      </c>
      <c r="B13" s="1409" t="s">
        <v>996</v>
      </c>
      <c r="C13" s="1394"/>
      <c r="D13" s="1396">
        <v>30979</v>
      </c>
      <c r="E13" s="1396" t="s">
        <v>997</v>
      </c>
      <c r="F13" s="1407"/>
      <c r="G13" s="1407"/>
      <c r="H13" s="1407"/>
      <c r="I13" s="1407"/>
      <c r="J13" s="1407"/>
      <c r="K13" s="1396"/>
      <c r="L13" s="1396"/>
      <c r="M13" s="1396"/>
      <c r="N13" s="1396"/>
      <c r="O13" s="1394"/>
    </row>
    <row r="14" spans="1:15">
      <c r="A14" s="1408">
        <f>+A13+1</f>
        <v>2</v>
      </c>
      <c r="B14" s="1409"/>
      <c r="C14" s="1394"/>
      <c r="D14" s="1410">
        <v>16823.240000000002</v>
      </c>
      <c r="E14" s="1396" t="s">
        <v>998</v>
      </c>
      <c r="F14" s="1411"/>
      <c r="G14" s="1412"/>
      <c r="H14" s="1411"/>
      <c r="I14" s="1411"/>
      <c r="J14" s="1411"/>
      <c r="K14" s="1396"/>
      <c r="L14" s="1396"/>
      <c r="M14" s="1396"/>
      <c r="N14" s="1396"/>
      <c r="O14" s="1394"/>
    </row>
    <row r="15" spans="1:15">
      <c r="A15" s="1408">
        <f>+A14+1</f>
        <v>3</v>
      </c>
      <c r="B15" s="1409" t="s">
        <v>999</v>
      </c>
      <c r="C15" s="1394"/>
      <c r="D15" s="1396">
        <f>+D13-D14</f>
        <v>14155.759999999998</v>
      </c>
      <c r="E15" s="1394"/>
      <c r="F15" s="1411">
        <v>4955.3</v>
      </c>
      <c r="G15" s="1412"/>
      <c r="H15" s="1413">
        <f>+F15/D15</f>
        <v>0.35005538381549284</v>
      </c>
      <c r="I15" s="1394"/>
      <c r="J15" s="1411">
        <f>-F15</f>
        <v>-4955.3</v>
      </c>
      <c r="K15" s="1411"/>
      <c r="L15" s="1411">
        <f>+F15+J15</f>
        <v>0</v>
      </c>
      <c r="M15" s="1411" t="s">
        <v>908</v>
      </c>
      <c r="N15" s="1396"/>
      <c r="O15" s="1396">
        <f>+D15-L15</f>
        <v>14155.759999999998</v>
      </c>
    </row>
    <row r="16" spans="1:15">
      <c r="A16" s="1393"/>
      <c r="B16" s="1409"/>
      <c r="C16" s="1394"/>
      <c r="D16" s="1396"/>
      <c r="E16" s="1396"/>
      <c r="F16" s="1414"/>
      <c r="G16" s="1412"/>
      <c r="H16" s="1394"/>
      <c r="I16" s="1394"/>
      <c r="J16" s="1411"/>
      <c r="K16" s="1411"/>
      <c r="L16" s="1411"/>
      <c r="M16" s="1411"/>
      <c r="N16" s="1396"/>
      <c r="O16" s="1396"/>
    </row>
    <row r="17" spans="1:15">
      <c r="A17" s="1408">
        <f>+A15+1</f>
        <v>4</v>
      </c>
      <c r="B17" s="1409" t="s">
        <v>1000</v>
      </c>
      <c r="C17" s="1394"/>
      <c r="D17" s="1396">
        <v>-24138</v>
      </c>
      <c r="E17" s="1396" t="s">
        <v>1001</v>
      </c>
      <c r="F17" s="1411">
        <v>-9654.89</v>
      </c>
      <c r="G17" s="1414"/>
      <c r="H17" s="1413">
        <f>+F17/D17</f>
        <v>0.39998715717955091</v>
      </c>
      <c r="I17" s="1394"/>
      <c r="J17" s="1411">
        <v>0</v>
      </c>
      <c r="K17" s="1411"/>
      <c r="L17" s="1411">
        <f>+F17+J17</f>
        <v>-9654.89</v>
      </c>
      <c r="M17" s="1411" t="s">
        <v>904</v>
      </c>
      <c r="N17" s="1396"/>
      <c r="O17" s="1396">
        <f>+D17-L17</f>
        <v>-14483.11</v>
      </c>
    </row>
    <row r="18" spans="1:15">
      <c r="A18" s="1408"/>
      <c r="B18" s="1409"/>
      <c r="C18" s="1394"/>
      <c r="D18" s="1396"/>
      <c r="E18" s="1396"/>
      <c r="F18" s="1411"/>
      <c r="G18" s="1411"/>
      <c r="H18" s="1394"/>
      <c r="I18" s="1394"/>
      <c r="J18" s="1411"/>
      <c r="K18" s="1411"/>
      <c r="L18" s="1411"/>
      <c r="M18" s="1411"/>
      <c r="N18" s="1396"/>
      <c r="O18" s="1396"/>
    </row>
    <row r="19" spans="1:15">
      <c r="A19" s="1408">
        <f>+A17+1</f>
        <v>5</v>
      </c>
      <c r="B19" s="1409" t="s">
        <v>1002</v>
      </c>
      <c r="C19" s="1394"/>
      <c r="D19" s="1396">
        <v>-23866</v>
      </c>
      <c r="E19" s="1396" t="s">
        <v>1003</v>
      </c>
      <c r="F19" s="1394"/>
      <c r="G19" s="1394"/>
      <c r="H19" s="1394"/>
      <c r="I19" s="1394"/>
      <c r="J19" s="1394"/>
      <c r="K19" s="1394"/>
      <c r="L19" s="1394"/>
      <c r="M19" s="1394"/>
      <c r="N19" s="1396"/>
      <c r="O19" s="1396"/>
    </row>
    <row r="20" spans="1:15">
      <c r="A20" s="1408">
        <f>+A19+1</f>
        <v>6</v>
      </c>
      <c r="B20" s="1409"/>
      <c r="C20" s="1394"/>
      <c r="D20" s="1410">
        <v>-17978</v>
      </c>
      <c r="E20" s="1396" t="s">
        <v>1004</v>
      </c>
      <c r="F20" s="1411"/>
      <c r="G20" s="1415"/>
      <c r="H20" s="1413"/>
      <c r="I20" s="1394"/>
      <c r="J20" s="1411"/>
      <c r="K20" s="1411"/>
      <c r="L20" s="1411"/>
      <c r="M20" s="1411"/>
      <c r="N20" s="1396"/>
      <c r="O20" s="1396"/>
    </row>
    <row r="21" spans="1:15">
      <c r="A21" s="1408">
        <f>+A20+1</f>
        <v>7</v>
      </c>
      <c r="B21" s="1409" t="s">
        <v>1005</v>
      </c>
      <c r="C21" s="1394"/>
      <c r="D21" s="1396">
        <f>+D19-D20</f>
        <v>-5888</v>
      </c>
      <c r="E21" s="1396"/>
      <c r="F21" s="1411">
        <v>-2355.25</v>
      </c>
      <c r="G21" s="1415"/>
      <c r="H21" s="1413">
        <f>+F21/D21</f>
        <v>0.40000849184782611</v>
      </c>
      <c r="I21" s="1394"/>
      <c r="J21" s="1411">
        <f>-J15-J17</f>
        <v>4955.3</v>
      </c>
      <c r="K21" s="1411"/>
      <c r="L21" s="1411">
        <f>+F21+J21</f>
        <v>2600.0500000000002</v>
      </c>
      <c r="M21" s="1411" t="s">
        <v>908</v>
      </c>
      <c r="N21" s="1396"/>
      <c r="O21" s="1396">
        <f>+D21-L21</f>
        <v>-8488.0499999999993</v>
      </c>
    </row>
    <row r="22" spans="1:15">
      <c r="A22" s="1393"/>
      <c r="B22" s="1394"/>
      <c r="C22" s="1394"/>
      <c r="D22" s="1396"/>
      <c r="E22" s="1396"/>
      <c r="F22" s="1411"/>
      <c r="G22" s="1416"/>
      <c r="H22" s="1394"/>
      <c r="I22" s="1394"/>
      <c r="J22" s="1411"/>
      <c r="K22" s="1411"/>
      <c r="L22" s="1411"/>
      <c r="M22" s="1411"/>
      <c r="N22" s="1396"/>
      <c r="O22" s="1394"/>
    </row>
    <row r="23" spans="1:15">
      <c r="A23" s="1408">
        <f>+A21+1</f>
        <v>8</v>
      </c>
      <c r="B23" s="1394" t="s">
        <v>412</v>
      </c>
      <c r="C23" s="1394"/>
      <c r="D23" s="1417">
        <f>+D15+D17+D21</f>
        <v>-15870.240000000002</v>
      </c>
      <c r="E23" s="1396"/>
      <c r="F23" s="1417">
        <f>SUM(F14:F21)</f>
        <v>-7054.8399999999992</v>
      </c>
      <c r="G23" s="1394"/>
      <c r="H23" s="1394"/>
      <c r="I23" s="1394"/>
      <c r="J23" s="1417">
        <f>+J15+J17+J21</f>
        <v>0</v>
      </c>
      <c r="K23" s="1396"/>
      <c r="L23" s="1417">
        <f>+L15+L17+L21</f>
        <v>-7054.8399999999992</v>
      </c>
      <c r="M23" s="1418"/>
      <c r="N23" s="1396"/>
      <c r="O23" s="1417">
        <f>+O15+O17+O21</f>
        <v>-8815.4000000000015</v>
      </c>
    </row>
    <row r="24" spans="1:15">
      <c r="A24" s="1393"/>
      <c r="B24" s="1394"/>
      <c r="C24" s="1394"/>
      <c r="D24" s="1396"/>
      <c r="E24" s="1419"/>
      <c r="F24" s="1420"/>
      <c r="G24" s="1396"/>
      <c r="H24" s="1396"/>
      <c r="I24" s="1396"/>
      <c r="J24" s="1396"/>
      <c r="K24" s="1396"/>
      <c r="L24" s="1396"/>
      <c r="M24" s="1396"/>
      <c r="N24" s="1396"/>
      <c r="O24" s="1394"/>
    </row>
    <row r="25" spans="1:15">
      <c r="A25" s="1393"/>
      <c r="B25" s="1394"/>
      <c r="C25" s="1394"/>
      <c r="D25" s="1396"/>
      <c r="E25" s="1419"/>
      <c r="F25" s="1420"/>
      <c r="G25" s="1396"/>
      <c r="H25" s="1396"/>
      <c r="I25" s="1396"/>
      <c r="J25" s="1396"/>
      <c r="K25" s="1396"/>
      <c r="L25" s="1396"/>
      <c r="M25" s="1396"/>
      <c r="N25" s="1396"/>
      <c r="O25" s="1394"/>
    </row>
    <row r="26" spans="1:15">
      <c r="A26" s="1487" t="s">
        <v>1006</v>
      </c>
      <c r="B26" s="1487"/>
      <c r="C26" s="1487"/>
      <c r="D26" s="1487"/>
      <c r="E26" s="1487"/>
      <c r="F26" s="1487"/>
      <c r="G26" s="1487"/>
      <c r="H26" s="1487"/>
      <c r="I26" s="1487"/>
      <c r="J26" s="1421"/>
      <c r="K26" s="1421"/>
      <c r="L26" s="1396"/>
      <c r="M26" s="1396"/>
      <c r="N26" s="1396"/>
      <c r="O26" s="1394"/>
    </row>
    <row r="27" spans="1:15">
      <c r="A27" s="1487"/>
      <c r="B27" s="1487"/>
      <c r="C27" s="1487"/>
      <c r="D27" s="1487"/>
      <c r="E27" s="1487"/>
      <c r="F27" s="1487"/>
      <c r="G27" s="1487"/>
      <c r="H27" s="1487"/>
      <c r="I27" s="1487"/>
      <c r="J27" s="1421"/>
      <c r="K27" s="1421"/>
      <c r="L27" s="1396"/>
      <c r="M27" s="1396"/>
      <c r="N27" s="1396"/>
      <c r="O27" s="1394"/>
    </row>
    <row r="28" spans="1:15">
      <c r="A28" s="1487"/>
      <c r="B28" s="1487"/>
      <c r="C28" s="1487"/>
      <c r="D28" s="1487"/>
      <c r="E28" s="1487"/>
      <c r="F28" s="1487"/>
      <c r="G28" s="1487"/>
      <c r="H28" s="1487"/>
      <c r="I28" s="1487"/>
      <c r="J28" s="1421"/>
      <c r="K28" s="1421"/>
      <c r="L28" s="1396"/>
      <c r="M28" s="1396"/>
      <c r="N28" s="1396"/>
      <c r="O28" s="1394"/>
    </row>
    <row r="29" spans="1:15">
      <c r="A29" s="1422"/>
      <c r="B29" s="1422"/>
      <c r="C29" s="1422"/>
      <c r="D29" s="1422"/>
      <c r="E29" s="1422"/>
      <c r="F29" s="1422"/>
      <c r="G29" s="1422"/>
      <c r="H29" s="1422"/>
      <c r="I29" s="1422"/>
      <c r="J29" s="1421"/>
      <c r="K29" s="1421"/>
      <c r="L29" s="1396"/>
      <c r="M29" s="1396"/>
      <c r="N29" s="1396"/>
      <c r="O29" s="1394"/>
    </row>
    <row r="30" spans="1:15" ht="12.75" customHeight="1">
      <c r="A30" s="1423" t="s">
        <v>1007</v>
      </c>
      <c r="B30" s="1488" t="s">
        <v>1008</v>
      </c>
      <c r="C30" s="1488"/>
      <c r="D30" s="1488"/>
      <c r="E30" s="1488"/>
      <c r="F30" s="1488"/>
      <c r="G30" s="1488"/>
      <c r="H30" s="1488"/>
      <c r="I30" s="1488"/>
      <c r="J30" s="1488"/>
      <c r="K30" s="1488"/>
      <c r="L30" s="1488"/>
      <c r="M30" s="1488"/>
      <c r="N30" s="1488"/>
      <c r="O30" s="1488"/>
    </row>
    <row r="31" spans="1:15">
      <c r="A31" s="1423"/>
      <c r="B31" s="1488"/>
      <c r="C31" s="1488"/>
      <c r="D31" s="1488"/>
      <c r="E31" s="1488"/>
      <c r="F31" s="1488"/>
      <c r="G31" s="1488"/>
      <c r="H31" s="1488"/>
      <c r="I31" s="1488"/>
      <c r="J31" s="1488"/>
      <c r="K31" s="1488"/>
      <c r="L31" s="1488"/>
      <c r="M31" s="1488"/>
      <c r="N31" s="1488"/>
      <c r="O31" s="1488"/>
    </row>
    <row r="32" spans="1:15">
      <c r="A32" s="1423"/>
      <c r="B32" s="1488"/>
      <c r="C32" s="1488"/>
      <c r="D32" s="1488"/>
      <c r="E32" s="1488"/>
      <c r="F32" s="1488"/>
      <c r="G32" s="1488"/>
      <c r="H32" s="1488"/>
      <c r="I32" s="1488"/>
      <c r="J32" s="1488"/>
      <c r="K32" s="1488"/>
      <c r="L32" s="1488"/>
      <c r="M32" s="1488"/>
      <c r="N32" s="1488"/>
      <c r="O32" s="1488"/>
    </row>
    <row r="33" spans="1:15">
      <c r="A33" s="1424"/>
      <c r="B33" s="1425"/>
      <c r="C33" s="1425"/>
      <c r="D33" s="1425"/>
      <c r="E33" s="1425"/>
      <c r="F33" s="1425"/>
      <c r="G33" s="1425"/>
      <c r="H33" s="1425"/>
      <c r="I33" s="1425"/>
      <c r="J33" s="1425"/>
      <c r="K33" s="1425"/>
      <c r="L33" s="1394"/>
      <c r="M33" s="1394"/>
      <c r="N33" s="1396"/>
      <c r="O33" s="1394"/>
    </row>
    <row r="34" spans="1:15" ht="12.75" customHeight="1">
      <c r="A34" s="1403" t="s">
        <v>1009</v>
      </c>
      <c r="B34" s="1489" t="s">
        <v>1010</v>
      </c>
      <c r="C34" s="1489"/>
      <c r="D34" s="1489"/>
      <c r="E34" s="1489"/>
      <c r="F34" s="1489"/>
      <c r="G34" s="1489"/>
      <c r="H34" s="1489"/>
      <c r="I34" s="1489"/>
      <c r="J34" s="1489"/>
      <c r="K34" s="1489"/>
      <c r="L34" s="1489"/>
      <c r="M34" s="1489"/>
      <c r="N34" s="1396"/>
      <c r="O34" s="1394"/>
    </row>
    <row r="35" spans="1:15">
      <c r="A35" s="1403"/>
      <c r="B35" s="1489"/>
      <c r="C35" s="1489"/>
      <c r="D35" s="1489"/>
      <c r="E35" s="1489"/>
      <c r="F35" s="1489"/>
      <c r="G35" s="1489"/>
      <c r="H35" s="1489"/>
      <c r="I35" s="1489"/>
      <c r="J35" s="1489"/>
      <c r="K35" s="1489"/>
      <c r="L35" s="1489"/>
      <c r="M35" s="1489"/>
      <c r="N35" s="1396"/>
      <c r="O35" s="1394"/>
    </row>
    <row r="36" spans="1:15">
      <c r="A36" s="1403"/>
      <c r="B36" s="1426"/>
      <c r="C36" s="1426"/>
      <c r="D36" s="1426"/>
      <c r="E36" s="1426"/>
      <c r="F36" s="1426"/>
      <c r="G36" s="1426"/>
      <c r="H36" s="1426"/>
      <c r="I36" s="1394"/>
      <c r="J36" s="1394"/>
      <c r="K36" s="1394"/>
      <c r="L36" s="1394"/>
      <c r="M36" s="1394"/>
      <c r="N36" s="1396"/>
      <c r="O36" s="1394"/>
    </row>
    <row r="37" spans="1:15" ht="12.75" customHeight="1">
      <c r="A37" s="1403" t="s">
        <v>1011</v>
      </c>
      <c r="B37" s="1489" t="s">
        <v>1012</v>
      </c>
      <c r="C37" s="1489"/>
      <c r="D37" s="1489"/>
      <c r="E37" s="1489"/>
      <c r="F37" s="1489"/>
      <c r="G37" s="1489"/>
      <c r="H37" s="1489"/>
      <c r="I37" s="1489"/>
      <c r="J37" s="1489"/>
      <c r="K37" s="1489"/>
      <c r="L37" s="1394"/>
      <c r="M37" s="1394"/>
      <c r="N37" s="1396"/>
      <c r="O37" s="1394"/>
    </row>
    <row r="38" spans="1:15">
      <c r="A38" s="1403"/>
      <c r="B38" s="1489"/>
      <c r="C38" s="1489"/>
      <c r="D38" s="1489"/>
      <c r="E38" s="1489"/>
      <c r="F38" s="1489"/>
      <c r="G38" s="1489"/>
      <c r="H38" s="1489"/>
      <c r="I38" s="1489"/>
      <c r="J38" s="1489"/>
      <c r="K38" s="1489"/>
      <c r="L38" s="1394"/>
      <c r="M38" s="1394"/>
      <c r="N38" s="1396"/>
      <c r="O38" s="1394"/>
    </row>
    <row r="39" spans="1:15">
      <c r="A39" s="1394"/>
      <c r="B39" s="1394"/>
      <c r="C39" s="1394"/>
      <c r="D39" s="1394"/>
      <c r="E39" s="1394"/>
      <c r="F39" s="1394"/>
      <c r="G39" s="1394"/>
      <c r="H39" s="1394"/>
      <c r="I39" s="1394"/>
      <c r="O39" s="1394"/>
    </row>
    <row r="40" spans="1:15" ht="12.75" customHeight="1">
      <c r="A40" s="1403" t="s">
        <v>1013</v>
      </c>
      <c r="B40" s="1485" t="s">
        <v>1014</v>
      </c>
      <c r="C40" s="1485"/>
      <c r="D40" s="1485"/>
      <c r="E40" s="1485"/>
      <c r="F40" s="1485"/>
      <c r="G40" s="1485"/>
      <c r="H40" s="1485"/>
      <c r="I40" s="1485"/>
      <c r="J40" s="1485"/>
      <c r="K40" s="1485"/>
      <c r="L40" s="1485"/>
      <c r="M40" s="1485"/>
      <c r="N40" s="1485"/>
      <c r="O40" s="1485"/>
    </row>
    <row r="41" spans="1:15">
      <c r="A41" s="1403"/>
      <c r="B41" s="1427"/>
      <c r="C41" s="1427"/>
      <c r="D41" s="1427"/>
      <c r="E41" s="1427"/>
      <c r="F41" s="1427"/>
      <c r="G41" s="1427"/>
      <c r="H41" s="1427"/>
      <c r="I41" s="1426"/>
      <c r="J41" s="1428"/>
      <c r="K41" s="1428"/>
      <c r="L41" s="1428"/>
      <c r="M41" s="1428"/>
      <c r="N41" s="1428"/>
      <c r="O41" s="1394"/>
    </row>
    <row r="42" spans="1:15">
      <c r="O42" s="1396"/>
    </row>
  </sheetData>
  <mergeCells count="6">
    <mergeCell ref="B40:O40"/>
    <mergeCell ref="A7:L7"/>
    <mergeCell ref="A26:I28"/>
    <mergeCell ref="B30:O32"/>
    <mergeCell ref="B34:M35"/>
    <mergeCell ref="B37:K3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17" zoomScale="70" zoomScaleNormal="75" zoomScaleSheetLayoutView="70" workbookViewId="0">
      <selection activeCell="A4" sqref="D4"/>
    </sheetView>
  </sheetViews>
  <sheetFormatPr defaultColWidth="11.42578125" defaultRowHeight="12.75"/>
  <cols>
    <col min="1" max="1" width="8.140625" style="423" customWidth="1"/>
    <col min="2" max="2" width="12.140625" style="421" customWidth="1"/>
    <col min="3" max="3" width="41.7109375" style="421" customWidth="1"/>
    <col min="4" max="4" width="30" style="421" customWidth="1"/>
    <col min="5" max="5" width="22.140625" style="426" customWidth="1"/>
    <col min="6" max="6" width="1" style="426" customWidth="1"/>
    <col min="7" max="7" width="20.85546875" style="421" customWidth="1"/>
    <col min="8" max="8" width="1" style="421" customWidth="1"/>
    <col min="9" max="9" width="19.140625" style="421" customWidth="1"/>
    <col min="10" max="10" width="16.7109375" style="421" customWidth="1"/>
    <col min="11" max="11" width="15.28515625" style="421" customWidth="1"/>
    <col min="12" max="12" width="34" style="421" customWidth="1"/>
    <col min="13" max="13" width="21.28515625" style="421" customWidth="1"/>
    <col min="14" max="14" width="13.42578125" style="421" customWidth="1"/>
    <col min="15" max="15" width="13.7109375" style="421" customWidth="1"/>
    <col min="16" max="16384" width="11.42578125" style="421"/>
  </cols>
  <sheetData>
    <row r="1" spans="1:15" ht="15.75">
      <c r="A1" s="1004" t="s">
        <v>408</v>
      </c>
    </row>
    <row r="2" spans="1:15" ht="15.75">
      <c r="A2" s="1004" t="s">
        <v>408</v>
      </c>
    </row>
    <row r="3" spans="1:15" ht="15">
      <c r="A3" s="1464" t="str">
        <f>TCOS!$F$5</f>
        <v>AEPTCo subsidiaries in PJM</v>
      </c>
      <c r="B3" s="1464" t="str">
        <f>TCOS!$F$5</f>
        <v>AEPTCo subsidiaries in PJM</v>
      </c>
      <c r="C3" s="1464" t="str">
        <f>TCOS!$F$5</f>
        <v>AEPTCo subsidiaries in PJM</v>
      </c>
      <c r="D3" s="1464" t="str">
        <f>TCOS!$F$5</f>
        <v>AEPTCo subsidiaries in PJM</v>
      </c>
      <c r="E3" s="1464" t="str">
        <f>TCOS!$F$5</f>
        <v>AEPTCo subsidiaries in PJM</v>
      </c>
      <c r="F3" s="1464" t="str">
        <f>TCOS!$F$5</f>
        <v>AEPTCo subsidiaries in PJM</v>
      </c>
      <c r="G3" s="1464" t="str">
        <f>TCOS!$F$5</f>
        <v>AEPTCo subsidiaries in PJM</v>
      </c>
      <c r="H3" s="1464" t="str">
        <f>TCOS!$F$5</f>
        <v>AEPTCo subsidiaries in PJM</v>
      </c>
      <c r="I3" s="1464" t="str">
        <f>TCOS!$F$5</f>
        <v>AEPTCo subsidiaries in PJM</v>
      </c>
      <c r="J3" s="1464" t="str">
        <f>TCOS!$F$5</f>
        <v>AEPTCo subsidiaries in PJM</v>
      </c>
      <c r="K3" s="1464" t="str">
        <f>TCOS!$F$5</f>
        <v>AEPTCo subsidiaries in PJM</v>
      </c>
      <c r="L3" s="1464" t="str">
        <f>TCOS!$F$5</f>
        <v>AEPTCo subsidiaries in PJM</v>
      </c>
      <c r="M3" s="420"/>
      <c r="N3" s="420"/>
      <c r="O3" s="420"/>
    </row>
    <row r="4" spans="1:15" ht="15">
      <c r="A4" s="1494" t="str">
        <f>"Cost of Service Formula Rate Using Actual/Projected FF1 Balances"</f>
        <v>Cost of Service Formula Rate Using Actual/Projected FF1 Balances</v>
      </c>
      <c r="B4" s="1494"/>
      <c r="C4" s="1494"/>
      <c r="D4" s="1494"/>
      <c r="E4" s="1494"/>
      <c r="F4" s="1494"/>
      <c r="G4" s="1494"/>
      <c r="H4" s="1494"/>
      <c r="I4" s="1494"/>
      <c r="J4" s="1494"/>
      <c r="K4" s="1494"/>
      <c r="L4" s="1494"/>
      <c r="M4" s="440"/>
      <c r="N4" s="440"/>
      <c r="O4" s="440"/>
    </row>
    <row r="5" spans="1:15" ht="15">
      <c r="A5" s="1494" t="s">
        <v>283</v>
      </c>
      <c r="B5" s="1494"/>
      <c r="C5" s="1494"/>
      <c r="D5" s="1494"/>
      <c r="E5" s="1494"/>
      <c r="F5" s="1494"/>
      <c r="G5" s="1494"/>
      <c r="H5" s="1494"/>
      <c r="I5" s="1494"/>
      <c r="J5" s="1494"/>
      <c r="K5" s="1494"/>
      <c r="L5" s="1494"/>
      <c r="M5" s="422"/>
      <c r="N5" s="422"/>
      <c r="O5" s="422"/>
    </row>
    <row r="6" spans="1:15" ht="15">
      <c r="A6" s="1495" t="str">
        <f>TCOS!F9</f>
        <v>AEP Appalachian Transmission Company</v>
      </c>
      <c r="B6" s="1495"/>
      <c r="C6" s="1495"/>
      <c r="D6" s="1495"/>
      <c r="E6" s="1495"/>
      <c r="F6" s="1495"/>
      <c r="G6" s="1495"/>
      <c r="H6" s="1495"/>
      <c r="I6" s="1495"/>
      <c r="J6" s="1495"/>
      <c r="K6" s="1495"/>
      <c r="L6" s="1495"/>
      <c r="M6" s="169"/>
      <c r="N6" s="169"/>
      <c r="O6" s="169"/>
    </row>
    <row r="7" spans="1:15" ht="15">
      <c r="A7" s="169"/>
      <c r="B7" s="169"/>
      <c r="C7" s="169"/>
      <c r="D7" s="169"/>
      <c r="E7" s="169"/>
      <c r="F7" s="169"/>
      <c r="G7" s="169"/>
      <c r="H7" s="441"/>
      <c r="I7" s="436"/>
      <c r="J7" s="436"/>
      <c r="K7" s="436"/>
      <c r="L7" s="436"/>
      <c r="M7" s="436"/>
      <c r="N7" s="436"/>
      <c r="O7" s="436"/>
    </row>
    <row r="8" spans="1:15" ht="12.75" customHeight="1">
      <c r="A8" s="442"/>
      <c r="B8" s="442" t="s">
        <v>454</v>
      </c>
      <c r="C8" s="442" t="s">
        <v>455</v>
      </c>
      <c r="D8" s="443" t="s">
        <v>323</v>
      </c>
      <c r="E8" s="443" t="s">
        <v>457</v>
      </c>
      <c r="F8" s="442"/>
      <c r="G8" s="442" t="s">
        <v>377</v>
      </c>
      <c r="H8" s="442"/>
      <c r="I8" s="442" t="s">
        <v>378</v>
      </c>
      <c r="J8" s="442" t="s">
        <v>379</v>
      </c>
      <c r="K8" s="442" t="s">
        <v>384</v>
      </c>
      <c r="L8" s="442" t="s">
        <v>288</v>
      </c>
      <c r="M8" s="442"/>
      <c r="N8" s="442"/>
      <c r="O8" s="442"/>
    </row>
    <row r="9" spans="1:15">
      <c r="A9" s="437"/>
    </row>
    <row r="10" spans="1:15" ht="18">
      <c r="A10" s="428"/>
      <c r="B10" s="1493" t="s">
        <v>491</v>
      </c>
      <c r="C10" s="1493"/>
      <c r="D10" s="1493"/>
      <c r="E10" s="1493"/>
      <c r="F10" s="1493"/>
      <c r="G10" s="1493"/>
      <c r="H10" s="1493"/>
      <c r="I10" s="1493"/>
      <c r="J10" s="1493"/>
      <c r="K10" s="1493"/>
      <c r="O10" s="426"/>
    </row>
    <row r="11" spans="1:15">
      <c r="A11" s="428"/>
      <c r="I11" s="156"/>
      <c r="J11" s="156"/>
      <c r="O11" s="426"/>
    </row>
    <row r="12" spans="1:15" ht="12.75" customHeight="1">
      <c r="A12" s="424" t="s">
        <v>461</v>
      </c>
      <c r="B12" s="432"/>
      <c r="C12" s="444"/>
      <c r="D12" s="445"/>
      <c r="E12" s="1490" t="str">
        <f>"Balance @ December 31, "&amp;TCOS!L4&amp;""</f>
        <v>Balance @ December 31, 2024</v>
      </c>
      <c r="F12" s="445"/>
      <c r="G12" s="1490" t="str">
        <f>"Balance @ December 31, "&amp;TCOS!L4-1&amp;""</f>
        <v>Balance @ December 31, 2023</v>
      </c>
      <c r="H12" s="446"/>
      <c r="I12" s="1497" t="str">
        <f>"Average Balance for "&amp;TCOS!L4&amp;""</f>
        <v>Average Balance for 2024</v>
      </c>
      <c r="J12" s="425"/>
      <c r="K12" s="429"/>
      <c r="L12" s="447"/>
      <c r="M12" s="429"/>
      <c r="N12" s="429"/>
      <c r="O12" s="426"/>
    </row>
    <row r="13" spans="1:15">
      <c r="A13" s="424" t="s">
        <v>399</v>
      </c>
      <c r="B13" s="430"/>
      <c r="C13" s="432"/>
      <c r="D13" s="448" t="s">
        <v>490</v>
      </c>
      <c r="E13" s="1491"/>
      <c r="F13" s="449"/>
      <c r="G13" s="1491"/>
      <c r="H13" s="450"/>
      <c r="I13" s="1498"/>
      <c r="J13" s="425"/>
      <c r="K13" s="451"/>
      <c r="L13" s="452"/>
      <c r="M13" s="427"/>
      <c r="N13" s="427"/>
    </row>
    <row r="14" spans="1:15">
      <c r="A14" s="430"/>
      <c r="B14" s="430"/>
      <c r="C14" s="432"/>
      <c r="D14" s="453"/>
      <c r="E14" s="435"/>
      <c r="F14" s="435"/>
      <c r="G14" s="454"/>
      <c r="H14" s="434"/>
      <c r="J14" s="156"/>
      <c r="K14" s="451"/>
      <c r="L14" s="452"/>
      <c r="M14" s="427"/>
      <c r="N14" s="427"/>
    </row>
    <row r="15" spans="1:15">
      <c r="A15" s="430">
        <v>1</v>
      </c>
      <c r="B15" s="430"/>
      <c r="D15" s="455"/>
      <c r="E15" s="456"/>
      <c r="F15" s="435"/>
      <c r="G15" s="456"/>
      <c r="H15" s="456"/>
      <c r="I15" s="456"/>
      <c r="K15" s="456"/>
      <c r="L15" s="456"/>
      <c r="M15" s="427"/>
      <c r="N15" s="427"/>
    </row>
    <row r="16" spans="1:15">
      <c r="A16" s="430"/>
      <c r="B16" s="430"/>
      <c r="C16" s="455"/>
      <c r="D16" s="455"/>
      <c r="E16" s="456"/>
      <c r="F16" s="435"/>
      <c r="G16" s="456"/>
      <c r="H16" s="456"/>
      <c r="I16" s="456"/>
      <c r="K16" s="456"/>
      <c r="L16" s="456"/>
      <c r="M16" s="427"/>
      <c r="N16" s="427"/>
    </row>
    <row r="17" spans="1:14">
      <c r="A17" s="430">
        <f>+A15+1</f>
        <v>2</v>
      </c>
      <c r="B17" s="430"/>
      <c r="C17" s="455" t="s">
        <v>316</v>
      </c>
      <c r="D17" s="431" t="s">
        <v>210</v>
      </c>
      <c r="E17" s="1316">
        <v>0</v>
      </c>
      <c r="F17" s="435"/>
      <c r="G17" s="1316">
        <v>0</v>
      </c>
      <c r="H17" s="456"/>
      <c r="I17" s="433">
        <f>IF(G17="",0,(E17+G17)/2)</f>
        <v>0</v>
      </c>
      <c r="J17" s="173"/>
      <c r="K17" s="433"/>
      <c r="L17" s="456"/>
      <c r="M17" s="427"/>
      <c r="N17" s="427"/>
    </row>
    <row r="18" spans="1:14">
      <c r="A18" s="430"/>
      <c r="B18" s="430"/>
      <c r="C18" s="455"/>
      <c r="D18" s="173"/>
      <c r="E18" s="173"/>
      <c r="F18" s="173"/>
      <c r="G18" s="173"/>
      <c r="H18" s="173"/>
      <c r="I18" s="348"/>
      <c r="J18" s="173"/>
      <c r="K18" s="173"/>
      <c r="L18" s="456"/>
      <c r="M18" s="427"/>
      <c r="N18" s="427"/>
    </row>
    <row r="19" spans="1:14">
      <c r="A19" s="430">
        <f>+A17+1</f>
        <v>3</v>
      </c>
      <c r="B19" s="430"/>
      <c r="C19" s="455" t="s">
        <v>317</v>
      </c>
      <c r="D19" s="431" t="s">
        <v>211</v>
      </c>
      <c r="E19" s="499"/>
      <c r="F19" s="435"/>
      <c r="G19" s="499"/>
      <c r="H19" s="434"/>
      <c r="I19" s="433">
        <f>IF(G19="",0,(E19+G19)/2)</f>
        <v>0</v>
      </c>
      <c r="J19" s="156"/>
      <c r="K19" s="451"/>
      <c r="L19" s="452"/>
      <c r="M19" s="427"/>
      <c r="N19" s="427"/>
    </row>
    <row r="20" spans="1:14">
      <c r="A20" s="430"/>
      <c r="B20" s="430"/>
      <c r="C20" s="455"/>
      <c r="D20" s="431"/>
      <c r="E20" s="173"/>
      <c r="F20" s="173"/>
      <c r="G20" s="173"/>
      <c r="H20" s="173"/>
      <c r="I20" s="173"/>
      <c r="J20" s="173"/>
      <c r="K20" s="451"/>
      <c r="L20" s="452"/>
      <c r="M20" s="427"/>
      <c r="N20" s="427"/>
    </row>
    <row r="21" spans="1:14">
      <c r="A21" s="430">
        <f>+A19+1</f>
        <v>4</v>
      </c>
      <c r="B21" s="430"/>
      <c r="C21" s="42" t="s">
        <v>766</v>
      </c>
      <c r="D21" s="431" t="s">
        <v>212</v>
      </c>
      <c r="E21" s="499"/>
      <c r="F21" s="435"/>
      <c r="G21" s="499"/>
      <c r="H21" s="434"/>
      <c r="I21" s="433">
        <f>IF(G21="",0,(E21+G21)/2)</f>
        <v>0</v>
      </c>
      <c r="J21" s="156"/>
      <c r="K21" s="451"/>
      <c r="L21" s="452"/>
      <c r="M21" s="427"/>
      <c r="N21" s="427"/>
    </row>
    <row r="22" spans="1:14">
      <c r="A22" s="430"/>
      <c r="B22" s="430"/>
      <c r="C22" s="432"/>
      <c r="D22" s="453"/>
      <c r="E22" s="435"/>
      <c r="F22" s="435"/>
      <c r="G22" s="426"/>
      <c r="H22" s="434"/>
      <c r="I22" s="426"/>
      <c r="J22" s="156"/>
      <c r="K22" s="451"/>
      <c r="L22" s="452"/>
      <c r="M22" s="427"/>
      <c r="N22" s="427"/>
    </row>
    <row r="23" spans="1:14">
      <c r="A23" s="457"/>
      <c r="B23" s="457"/>
      <c r="C23" s="458"/>
      <c r="D23" s="459"/>
      <c r="E23" s="460"/>
      <c r="F23" s="460"/>
      <c r="G23" s="461"/>
      <c r="H23" s="462"/>
      <c r="I23" s="461"/>
      <c r="J23" s="463"/>
      <c r="K23" s="464"/>
      <c r="L23" s="465"/>
      <c r="M23" s="427"/>
      <c r="N23" s="427"/>
    </row>
    <row r="24" spans="1:14" ht="18">
      <c r="A24" s="430"/>
      <c r="B24" s="1493" t="s">
        <v>767</v>
      </c>
      <c r="C24" s="1493"/>
      <c r="D24" s="1493"/>
      <c r="E24" s="1493"/>
      <c r="F24" s="1493"/>
      <c r="G24" s="1493"/>
      <c r="H24" s="1493"/>
      <c r="I24" s="1493"/>
      <c r="J24" s="1493"/>
      <c r="K24" s="1493"/>
      <c r="L24" s="452"/>
      <c r="M24" s="427"/>
      <c r="N24" s="427"/>
    </row>
    <row r="25" spans="1:14" ht="12.75" customHeight="1">
      <c r="A25" s="430"/>
      <c r="B25" s="466"/>
      <c r="C25" s="432"/>
      <c r="D25" s="467"/>
      <c r="E25" s="468"/>
      <c r="F25" s="421"/>
      <c r="G25" s="468" t="s">
        <v>380</v>
      </c>
      <c r="I25" s="469" t="s">
        <v>409</v>
      </c>
      <c r="J25" s="469" t="s">
        <v>409</v>
      </c>
      <c r="K25" s="469" t="s">
        <v>471</v>
      </c>
      <c r="L25" s="452"/>
      <c r="M25" s="427"/>
      <c r="N25" s="427"/>
    </row>
    <row r="26" spans="1:14" ht="12.75" customHeight="1">
      <c r="A26" s="430"/>
      <c r="B26" s="466"/>
      <c r="C26" s="432"/>
      <c r="D26" s="470" t="s">
        <v>289</v>
      </c>
      <c r="E26" s="469" t="s">
        <v>319</v>
      </c>
      <c r="F26" s="421"/>
      <c r="G26" s="469" t="s">
        <v>409</v>
      </c>
      <c r="I26" s="469" t="s">
        <v>309</v>
      </c>
      <c r="J26" s="469" t="s">
        <v>453</v>
      </c>
      <c r="K26" s="469" t="s">
        <v>472</v>
      </c>
      <c r="L26" s="452"/>
      <c r="M26" s="427"/>
      <c r="N26" s="427"/>
    </row>
    <row r="27" spans="1:14" ht="12.75" customHeight="1">
      <c r="A27" s="430">
        <f>+A21+1</f>
        <v>5</v>
      </c>
      <c r="B27" s="466"/>
      <c r="C27" s="432"/>
      <c r="D27" s="471" t="s">
        <v>381</v>
      </c>
      <c r="E27" s="471" t="s">
        <v>290</v>
      </c>
      <c r="F27" s="421"/>
      <c r="G27" s="471" t="s">
        <v>310</v>
      </c>
      <c r="I27" s="471" t="s">
        <v>310</v>
      </c>
      <c r="J27" s="471" t="s">
        <v>310</v>
      </c>
      <c r="K27" s="471" t="s">
        <v>311</v>
      </c>
      <c r="L27" s="452"/>
      <c r="M27" s="427"/>
      <c r="N27" s="427"/>
    </row>
    <row r="28" spans="1:14">
      <c r="A28" s="430"/>
      <c r="B28" s="430"/>
      <c r="C28" s="432"/>
      <c r="D28" s="453"/>
      <c r="E28" s="435"/>
      <c r="F28" s="435"/>
      <c r="G28" s="426"/>
      <c r="H28" s="434"/>
      <c r="I28" s="426"/>
      <c r="J28" s="156"/>
      <c r="K28" s="472"/>
      <c r="L28" s="452"/>
      <c r="M28" s="427"/>
      <c r="N28" s="427"/>
    </row>
    <row r="29" spans="1:14">
      <c r="A29" s="430">
        <f>+A27+1</f>
        <v>6</v>
      </c>
      <c r="B29" s="430"/>
      <c r="C29" s="421" t="str">
        <f>"Totals as of December 31, "&amp;TCOS!L4&amp;""</f>
        <v>Totals as of December 31, 2024</v>
      </c>
      <c r="D29" s="473">
        <f>ROUND(D55,0)</f>
        <v>16421</v>
      </c>
      <c r="E29" s="474">
        <f>ROUND(E55,0)</f>
        <v>0</v>
      </c>
      <c r="F29" s="475"/>
      <c r="G29" s="473">
        <f>ROUND(G55,0)</f>
        <v>0</v>
      </c>
      <c r="H29" s="434"/>
      <c r="I29" s="473">
        <f>ROUND(I55,0)</f>
        <v>16421</v>
      </c>
      <c r="J29" s="476">
        <f>+J55</f>
        <v>0</v>
      </c>
      <c r="K29" s="473">
        <f>ROUND(K55,0)</f>
        <v>16421</v>
      </c>
      <c r="L29" s="452"/>
      <c r="M29" s="427"/>
      <c r="N29" s="427"/>
    </row>
    <row r="30" spans="1:14">
      <c r="A30" s="430">
        <f>+A29+1</f>
        <v>7</v>
      </c>
      <c r="B30" s="430"/>
      <c r="C30" s="421" t="str">
        <f>"Totals as of December 31, "&amp;(TCOS!L4-1)&amp;""</f>
        <v>Totals as of December 31, 2023</v>
      </c>
      <c r="D30" s="477">
        <f>ROUND(D79,0)</f>
        <v>7186</v>
      </c>
      <c r="E30" s="478">
        <f>ROUND(E79,0)</f>
        <v>0</v>
      </c>
      <c r="F30" s="435"/>
      <c r="G30" s="477">
        <f>ROUND(G79,0)</f>
        <v>0</v>
      </c>
      <c r="H30" s="434"/>
      <c r="I30" s="477">
        <f>ROUND(I79,0)</f>
        <v>7186</v>
      </c>
      <c r="J30" s="477">
        <f>+J79</f>
        <v>0</v>
      </c>
      <c r="K30" s="477">
        <f>ROUND(K79,0)</f>
        <v>7186</v>
      </c>
      <c r="L30" s="452"/>
      <c r="M30" s="427"/>
      <c r="N30" s="427"/>
    </row>
    <row r="31" spans="1:14" ht="13.5" thickBot="1">
      <c r="A31" s="430">
        <f>+A30+1</f>
        <v>8</v>
      </c>
      <c r="B31" s="430"/>
      <c r="C31" s="479" t="s">
        <v>497</v>
      </c>
      <c r="D31" s="480">
        <f>IF(D30="",0,(D29+D30)/2)</f>
        <v>11803.5</v>
      </c>
      <c r="E31" s="480">
        <f>IF(E30="",0,(E29+E30)/2)</f>
        <v>0</v>
      </c>
      <c r="F31" s="481"/>
      <c r="G31" s="480">
        <f>IF(G30="",0,(G29+G30)/2)</f>
        <v>0</v>
      </c>
      <c r="H31" s="482"/>
      <c r="I31" s="480">
        <f>IF(I30="",0,(I29+I30)/2)</f>
        <v>11803.5</v>
      </c>
      <c r="J31" s="480">
        <f>IF(J30="",0,(J29+J30)/2)</f>
        <v>0</v>
      </c>
      <c r="K31" s="480">
        <f>IF(K30="",0,(K29+K30)/2)</f>
        <v>11803.5</v>
      </c>
      <c r="L31" s="452"/>
      <c r="M31" s="427"/>
      <c r="N31" s="427"/>
    </row>
    <row r="32" spans="1:14" ht="13.5" thickTop="1">
      <c r="A32" s="430"/>
      <c r="B32" s="430"/>
      <c r="D32" s="453"/>
      <c r="E32" s="435"/>
      <c r="F32" s="435"/>
      <c r="G32" s="426"/>
      <c r="H32" s="434"/>
      <c r="I32" s="426"/>
      <c r="J32" s="156"/>
      <c r="K32" s="451"/>
      <c r="L32" s="452"/>
      <c r="M32" s="427"/>
      <c r="N32" s="427"/>
    </row>
    <row r="33" spans="1:14">
      <c r="A33" s="421"/>
      <c r="E33" s="421"/>
      <c r="F33" s="421"/>
      <c r="J33" s="156"/>
      <c r="K33" s="451"/>
      <c r="L33" s="452"/>
      <c r="M33" s="427"/>
      <c r="N33" s="427"/>
    </row>
    <row r="34" spans="1:14" ht="18">
      <c r="A34" s="430"/>
      <c r="B34" s="1496" t="str">
        <f>"Prepayments Account 165 - Balance @ 12/31/"&amp;D36&amp;""</f>
        <v>Prepayments Account 165 - Balance @ 12/31/2024</v>
      </c>
      <c r="C34" s="1499"/>
      <c r="D34" s="1499"/>
      <c r="E34" s="1499"/>
      <c r="F34" s="1499"/>
      <c r="G34" s="1499"/>
      <c r="H34" s="1499"/>
      <c r="I34" s="1499"/>
      <c r="J34" s="1499"/>
      <c r="K34" s="451"/>
      <c r="L34" s="452"/>
      <c r="M34" s="427"/>
      <c r="N34" s="427"/>
    </row>
    <row r="35" spans="1:14">
      <c r="A35" s="430"/>
      <c r="B35" s="483"/>
      <c r="C35" s="484"/>
      <c r="D35" s="467"/>
      <c r="E35" s="468"/>
      <c r="F35" s="421"/>
      <c r="G35" s="468" t="s">
        <v>380</v>
      </c>
      <c r="I35" s="469" t="s">
        <v>409</v>
      </c>
      <c r="J35" s="469" t="s">
        <v>409</v>
      </c>
      <c r="K35" s="469" t="s">
        <v>471</v>
      </c>
      <c r="L35" s="173"/>
      <c r="M35" s="427"/>
      <c r="N35" s="427"/>
    </row>
    <row r="36" spans="1:14">
      <c r="A36" s="430"/>
      <c r="B36" s="483"/>
      <c r="C36" s="485"/>
      <c r="D36" s="470" t="str">
        <f>""&amp;TCOS!L4</f>
        <v>2024</v>
      </c>
      <c r="E36" s="469" t="s">
        <v>319</v>
      </c>
      <c r="F36" s="421"/>
      <c r="G36" s="469" t="s">
        <v>409</v>
      </c>
      <c r="I36" s="469" t="s">
        <v>309</v>
      </c>
      <c r="J36" s="469" t="s">
        <v>453</v>
      </c>
      <c r="K36" s="469" t="s">
        <v>472</v>
      </c>
      <c r="L36" s="173"/>
      <c r="M36" s="427"/>
      <c r="N36" s="427"/>
    </row>
    <row r="37" spans="1:14">
      <c r="A37" s="430">
        <f>+A31+1</f>
        <v>9</v>
      </c>
      <c r="B37" s="471" t="s">
        <v>383</v>
      </c>
      <c r="C37" s="471" t="s">
        <v>459</v>
      </c>
      <c r="D37" s="471" t="s">
        <v>381</v>
      </c>
      <c r="E37" s="471" t="s">
        <v>290</v>
      </c>
      <c r="F37" s="421"/>
      <c r="G37" s="471" t="s">
        <v>310</v>
      </c>
      <c r="I37" s="471" t="s">
        <v>310</v>
      </c>
      <c r="J37" s="471" t="s">
        <v>310</v>
      </c>
      <c r="K37" s="471" t="s">
        <v>311</v>
      </c>
      <c r="L37" s="471" t="s">
        <v>365</v>
      </c>
      <c r="M37" s="427"/>
      <c r="N37" s="427"/>
    </row>
    <row r="38" spans="1:14">
      <c r="A38" s="430"/>
      <c r="B38" s="483"/>
      <c r="C38" s="484"/>
      <c r="D38" s="484"/>
      <c r="E38" s="484"/>
      <c r="F38" s="421"/>
      <c r="G38" s="484"/>
      <c r="I38" s="484"/>
      <c r="J38" s="484"/>
      <c r="K38" s="472"/>
      <c r="L38" s="173"/>
      <c r="M38" s="427"/>
      <c r="N38" s="427"/>
    </row>
    <row r="39" spans="1:14" ht="14.25">
      <c r="A39" s="430">
        <f>+A37+1</f>
        <v>10</v>
      </c>
      <c r="B39" s="970" t="s">
        <v>1022</v>
      </c>
      <c r="C39" s="971" t="s">
        <v>1023</v>
      </c>
      <c r="D39" s="996">
        <v>9362.2199999999993</v>
      </c>
      <c r="E39" s="486">
        <f t="shared" ref="E39:E53" si="0">+D39-K39</f>
        <v>0</v>
      </c>
      <c r="F39" s="421"/>
      <c r="G39" s="487"/>
      <c r="I39" s="487">
        <f>+D39</f>
        <v>9362.2199999999993</v>
      </c>
      <c r="J39" s="487"/>
      <c r="K39" s="487">
        <f>+G39+I39+J39</f>
        <v>9362.2199999999993</v>
      </c>
      <c r="L39" s="173"/>
      <c r="M39" s="427"/>
      <c r="N39" s="427"/>
    </row>
    <row r="40" spans="1:14" ht="14.25">
      <c r="A40" s="430">
        <f>+A39+1</f>
        <v>11</v>
      </c>
      <c r="B40" s="970" t="s">
        <v>870</v>
      </c>
      <c r="C40" s="971" t="s">
        <v>871</v>
      </c>
      <c r="D40" s="996">
        <v>7058.88</v>
      </c>
      <c r="E40" s="486">
        <f t="shared" si="0"/>
        <v>0</v>
      </c>
      <c r="F40" s="421"/>
      <c r="G40" s="487"/>
      <c r="I40" s="487">
        <f>+D40</f>
        <v>7058.88</v>
      </c>
      <c r="J40" s="487"/>
      <c r="K40" s="487">
        <f t="shared" ref="K40:K54" si="1">+G40+I40+J40</f>
        <v>7058.88</v>
      </c>
      <c r="L40" s="173"/>
      <c r="M40" s="427"/>
      <c r="N40" s="427"/>
    </row>
    <row r="41" spans="1:14" ht="14.25">
      <c r="A41" s="430">
        <f t="shared" ref="A41:A54" si="2">+A40+1</f>
        <v>12</v>
      </c>
      <c r="B41" s="969"/>
      <c r="C41" s="971"/>
      <c r="D41" s="996"/>
      <c r="E41" s="486">
        <f t="shared" si="0"/>
        <v>0</v>
      </c>
      <c r="F41" s="421"/>
      <c r="G41" s="487"/>
      <c r="I41" s="487">
        <f>+D41</f>
        <v>0</v>
      </c>
      <c r="J41" s="487"/>
      <c r="K41" s="487">
        <f t="shared" si="1"/>
        <v>0</v>
      </c>
      <c r="L41" s="173"/>
      <c r="M41" s="427"/>
      <c r="N41" s="427"/>
    </row>
    <row r="42" spans="1:14" ht="14.25">
      <c r="A42" s="430">
        <f t="shared" si="2"/>
        <v>13</v>
      </c>
      <c r="B42" s="969"/>
      <c r="C42" s="971"/>
      <c r="D42" s="996"/>
      <c r="E42" s="486">
        <f t="shared" si="0"/>
        <v>0</v>
      </c>
      <c r="F42" s="421"/>
      <c r="G42" s="487"/>
      <c r="I42" s="487">
        <f t="shared" ref="I42:I49" si="3">+D42</f>
        <v>0</v>
      </c>
      <c r="J42" s="487"/>
      <c r="K42" s="487">
        <f t="shared" si="1"/>
        <v>0</v>
      </c>
      <c r="L42" s="173"/>
      <c r="M42" s="427"/>
      <c r="N42" s="427"/>
    </row>
    <row r="43" spans="1:14" ht="14.25">
      <c r="A43" s="430">
        <f t="shared" si="2"/>
        <v>14</v>
      </c>
      <c r="B43" s="969"/>
      <c r="C43" s="971"/>
      <c r="D43" s="996"/>
      <c r="E43" s="486">
        <f t="shared" si="0"/>
        <v>0</v>
      </c>
      <c r="F43" s="421"/>
      <c r="G43" s="487"/>
      <c r="I43" s="487">
        <f t="shared" si="3"/>
        <v>0</v>
      </c>
      <c r="J43" s="487"/>
      <c r="K43" s="487">
        <f t="shared" si="1"/>
        <v>0</v>
      </c>
      <c r="L43" s="392"/>
      <c r="M43" s="427"/>
      <c r="N43" s="427"/>
    </row>
    <row r="44" spans="1:14" ht="14.25">
      <c r="A44" s="430">
        <f t="shared" si="2"/>
        <v>15</v>
      </c>
      <c r="B44" s="969"/>
      <c r="C44" s="971"/>
      <c r="D44" s="996"/>
      <c r="E44" s="486">
        <f t="shared" si="0"/>
        <v>0</v>
      </c>
      <c r="F44" s="421"/>
      <c r="G44" s="487"/>
      <c r="I44" s="487">
        <f t="shared" si="3"/>
        <v>0</v>
      </c>
      <c r="J44" s="487"/>
      <c r="K44" s="487">
        <f t="shared" si="1"/>
        <v>0</v>
      </c>
      <c r="L44" s="392"/>
      <c r="M44" s="427"/>
      <c r="N44" s="427"/>
    </row>
    <row r="45" spans="1:14" ht="14.25">
      <c r="A45" s="430">
        <f t="shared" si="2"/>
        <v>16</v>
      </c>
      <c r="B45" s="969"/>
      <c r="C45" s="971"/>
      <c r="D45" s="996"/>
      <c r="E45" s="486">
        <f t="shared" si="0"/>
        <v>0</v>
      </c>
      <c r="F45" s="421"/>
      <c r="G45" s="488"/>
      <c r="I45" s="487">
        <f t="shared" si="3"/>
        <v>0</v>
      </c>
      <c r="J45" s="488"/>
      <c r="K45" s="488">
        <f t="shared" si="1"/>
        <v>0</v>
      </c>
      <c r="L45" s="392"/>
      <c r="M45" s="427"/>
      <c r="N45" s="427"/>
    </row>
    <row r="46" spans="1:14" ht="14.25">
      <c r="A46" s="430">
        <f t="shared" si="2"/>
        <v>17</v>
      </c>
      <c r="B46" s="969"/>
      <c r="C46" s="971"/>
      <c r="D46" s="996"/>
      <c r="E46" s="486">
        <f t="shared" si="0"/>
        <v>0</v>
      </c>
      <c r="F46" s="421"/>
      <c r="G46" s="487"/>
      <c r="I46" s="487">
        <f t="shared" si="3"/>
        <v>0</v>
      </c>
      <c r="J46" s="487"/>
      <c r="K46" s="488">
        <f t="shared" si="1"/>
        <v>0</v>
      </c>
      <c r="L46" s="348"/>
      <c r="M46" s="427"/>
      <c r="N46" s="427"/>
    </row>
    <row r="47" spans="1:14" ht="14.25">
      <c r="A47" s="430">
        <f t="shared" si="2"/>
        <v>18</v>
      </c>
      <c r="B47" s="969"/>
      <c r="C47" s="971"/>
      <c r="D47" s="996"/>
      <c r="E47" s="486">
        <f t="shared" si="0"/>
        <v>0</v>
      </c>
      <c r="F47" s="421"/>
      <c r="G47" s="487"/>
      <c r="I47" s="487">
        <f t="shared" si="3"/>
        <v>0</v>
      </c>
      <c r="J47" s="487"/>
      <c r="K47" s="488">
        <f t="shared" si="1"/>
        <v>0</v>
      </c>
      <c r="L47" s="392"/>
      <c r="M47" s="427"/>
      <c r="N47" s="427"/>
    </row>
    <row r="48" spans="1:14" ht="14.25">
      <c r="A48" s="430">
        <f t="shared" si="2"/>
        <v>19</v>
      </c>
      <c r="B48" s="969"/>
      <c r="C48" s="971"/>
      <c r="D48" s="996"/>
      <c r="E48" s="486">
        <f t="shared" si="0"/>
        <v>0</v>
      </c>
      <c r="F48" s="421"/>
      <c r="G48" s="487"/>
      <c r="I48" s="487">
        <f t="shared" si="3"/>
        <v>0</v>
      </c>
      <c r="J48" s="487"/>
      <c r="K48" s="488">
        <f t="shared" si="1"/>
        <v>0</v>
      </c>
      <c r="L48" s="392"/>
      <c r="M48" s="427"/>
      <c r="N48" s="427"/>
    </row>
    <row r="49" spans="1:15" ht="14.25">
      <c r="A49" s="430">
        <f t="shared" si="2"/>
        <v>20</v>
      </c>
      <c r="B49" s="970"/>
      <c r="C49" s="971"/>
      <c r="D49" s="996"/>
      <c r="E49" s="486">
        <f t="shared" si="0"/>
        <v>0</v>
      </c>
      <c r="F49" s="421"/>
      <c r="G49" s="487"/>
      <c r="I49" s="487">
        <f t="shared" si="3"/>
        <v>0</v>
      </c>
      <c r="J49" s="489"/>
      <c r="K49" s="488">
        <f>+G49+I49+J49</f>
        <v>0</v>
      </c>
      <c r="L49" s="173"/>
      <c r="M49" s="427"/>
      <c r="N49" s="427"/>
    </row>
    <row r="50" spans="1:15" ht="14.25">
      <c r="A50" s="430">
        <f t="shared" si="2"/>
        <v>21</v>
      </c>
      <c r="B50" s="970"/>
      <c r="C50" s="971"/>
      <c r="D50" s="996"/>
      <c r="E50" s="486">
        <f t="shared" si="0"/>
        <v>0</v>
      </c>
      <c r="F50" s="421"/>
      <c r="G50" s="487"/>
      <c r="I50" s="487">
        <f>D50</f>
        <v>0</v>
      </c>
      <c r="J50" s="489">
        <v>0</v>
      </c>
      <c r="K50" s="488">
        <f>+G50+I50+J50</f>
        <v>0</v>
      </c>
      <c r="L50" s="173"/>
      <c r="M50" s="427"/>
      <c r="N50" s="427"/>
    </row>
    <row r="51" spans="1:15" ht="14.25">
      <c r="A51" s="430">
        <f t="shared" si="2"/>
        <v>22</v>
      </c>
      <c r="B51" s="970"/>
      <c r="C51" s="971"/>
      <c r="D51" s="996"/>
      <c r="E51" s="486">
        <f t="shared" si="0"/>
        <v>0</v>
      </c>
      <c r="F51" s="421"/>
      <c r="G51" s="487"/>
      <c r="I51" s="487"/>
      <c r="J51" s="489">
        <f>D51</f>
        <v>0</v>
      </c>
      <c r="K51" s="488">
        <f>+G51+I51+J51</f>
        <v>0</v>
      </c>
      <c r="L51" s="392"/>
      <c r="M51" s="427"/>
      <c r="N51" s="427"/>
    </row>
    <row r="52" spans="1:15" ht="14.25">
      <c r="A52" s="430">
        <f t="shared" si="2"/>
        <v>23</v>
      </c>
      <c r="B52" s="970"/>
      <c r="C52" s="971"/>
      <c r="D52" s="996"/>
      <c r="E52" s="486">
        <f t="shared" si="0"/>
        <v>0</v>
      </c>
      <c r="F52" s="421"/>
      <c r="G52" s="487"/>
      <c r="I52" s="487"/>
      <c r="J52" s="489">
        <f>D52</f>
        <v>0</v>
      </c>
      <c r="K52" s="488">
        <f>+G52+I52+J52</f>
        <v>0</v>
      </c>
      <c r="L52" s="392"/>
      <c r="M52" s="427"/>
      <c r="N52" s="427"/>
    </row>
    <row r="53" spans="1:15" ht="14.25">
      <c r="A53" s="430">
        <f t="shared" si="2"/>
        <v>24</v>
      </c>
      <c r="B53" s="970"/>
      <c r="C53" s="971"/>
      <c r="D53" s="996"/>
      <c r="E53" s="486">
        <f t="shared" si="0"/>
        <v>0</v>
      </c>
      <c r="F53" s="421"/>
      <c r="G53" s="487"/>
      <c r="I53" s="487"/>
      <c r="J53" s="489">
        <f>D53</f>
        <v>0</v>
      </c>
      <c r="K53" s="488">
        <f t="shared" si="1"/>
        <v>0</v>
      </c>
      <c r="L53" s="392"/>
      <c r="M53" s="427"/>
      <c r="N53" s="427"/>
    </row>
    <row r="54" spans="1:15" ht="15" thickBot="1">
      <c r="A54" s="430">
        <f t="shared" si="2"/>
        <v>25</v>
      </c>
      <c r="B54" s="970"/>
      <c r="C54" s="971"/>
      <c r="D54" s="996"/>
      <c r="E54" s="486"/>
      <c r="F54" s="421"/>
      <c r="G54" s="487"/>
      <c r="I54" s="487"/>
      <c r="J54" s="487">
        <f>D54</f>
        <v>0</v>
      </c>
      <c r="K54" s="488">
        <f t="shared" si="1"/>
        <v>0</v>
      </c>
      <c r="L54" s="392"/>
      <c r="M54" s="427"/>
      <c r="N54" s="427"/>
    </row>
    <row r="55" spans="1:15">
      <c r="A55" s="430"/>
      <c r="B55" s="483"/>
      <c r="C55" s="490" t="s">
        <v>291</v>
      </c>
      <c r="D55" s="491">
        <f>SUM(D39:D54)</f>
        <v>16421.099999999999</v>
      </c>
      <c r="E55" s="492">
        <f>SUM(E39:E54)</f>
        <v>0</v>
      </c>
      <c r="F55" s="421"/>
      <c r="G55" s="491">
        <f>SUM(G39:G54)</f>
        <v>0</v>
      </c>
      <c r="I55" s="491">
        <f>SUM(I39:I54)</f>
        <v>16421.099999999999</v>
      </c>
      <c r="J55" s="491">
        <f>SUM(J39:J54)</f>
        <v>0</v>
      </c>
      <c r="K55" s="491">
        <f>SUM(K39:K54)</f>
        <v>16421.099999999999</v>
      </c>
      <c r="L55" s="173"/>
      <c r="M55" s="427"/>
      <c r="N55" s="427"/>
    </row>
    <row r="56" spans="1:15">
      <c r="A56" s="430"/>
      <c r="D56" s="493" t="s">
        <v>408</v>
      </c>
      <c r="K56" s="494"/>
      <c r="L56" s="173"/>
      <c r="M56" s="427"/>
      <c r="N56" s="427"/>
    </row>
    <row r="57" spans="1:15">
      <c r="A57" s="430"/>
      <c r="B57" s="173"/>
      <c r="C57" s="173"/>
      <c r="D57" s="173"/>
      <c r="E57" s="173"/>
      <c r="F57" s="173"/>
      <c r="G57" s="173"/>
      <c r="H57" s="173"/>
      <c r="I57" s="173"/>
      <c r="J57" s="173"/>
      <c r="K57" s="173"/>
      <c r="L57" s="173"/>
      <c r="M57" s="427"/>
      <c r="N57" s="427"/>
      <c r="O57" s="173"/>
    </row>
    <row r="58" spans="1:15" ht="18">
      <c r="A58" s="430"/>
      <c r="B58" s="1496" t="str">
        <f>"Prepayments Account 165 - Balance @ 12/31/ "&amp;D60&amp;""</f>
        <v>Prepayments Account 165 - Balance @ 12/31/ 2023</v>
      </c>
      <c r="C58" s="1496"/>
      <c r="D58" s="1496"/>
      <c r="E58" s="1496"/>
      <c r="F58" s="1496"/>
      <c r="G58" s="1496"/>
      <c r="H58" s="1496"/>
      <c r="I58" s="1496"/>
      <c r="J58" s="1496"/>
      <c r="K58" s="451"/>
      <c r="L58" s="452"/>
      <c r="M58" s="427"/>
      <c r="N58" s="427"/>
      <c r="O58" s="173"/>
    </row>
    <row r="59" spans="1:15">
      <c r="A59" s="430"/>
      <c r="B59" s="495"/>
      <c r="C59" s="496"/>
      <c r="D59" s="497"/>
      <c r="E59" s="468"/>
      <c r="F59" s="421"/>
      <c r="G59" s="468" t="s">
        <v>380</v>
      </c>
      <c r="I59" s="469" t="s">
        <v>409</v>
      </c>
      <c r="J59" s="469" t="s">
        <v>409</v>
      </c>
      <c r="K59" s="469" t="s">
        <v>471</v>
      </c>
      <c r="L59" s="173"/>
      <c r="M59" s="427"/>
      <c r="N59" s="427"/>
      <c r="O59" s="173"/>
    </row>
    <row r="60" spans="1:15">
      <c r="A60" s="430"/>
      <c r="B60" s="495"/>
      <c r="C60" s="498"/>
      <c r="D60" s="469" t="str">
        <f>""&amp;TCOS!L4-1&amp;""</f>
        <v>2023</v>
      </c>
      <c r="E60" s="469" t="s">
        <v>319</v>
      </c>
      <c r="F60" s="421"/>
      <c r="G60" s="469" t="s">
        <v>409</v>
      </c>
      <c r="I60" s="469" t="s">
        <v>309</v>
      </c>
      <c r="J60" s="469" t="s">
        <v>453</v>
      </c>
      <c r="K60" s="469" t="s">
        <v>472</v>
      </c>
      <c r="L60" s="173"/>
      <c r="M60" s="427"/>
      <c r="N60" s="427"/>
      <c r="O60" s="173"/>
    </row>
    <row r="61" spans="1:15">
      <c r="A61" s="430">
        <f>A54+1</f>
        <v>26</v>
      </c>
      <c r="B61" s="471" t="s">
        <v>383</v>
      </c>
      <c r="C61" s="471" t="s">
        <v>459</v>
      </c>
      <c r="D61" s="471" t="s">
        <v>381</v>
      </c>
      <c r="E61" s="471" t="s">
        <v>290</v>
      </c>
      <c r="F61" s="421"/>
      <c r="G61" s="471" t="s">
        <v>310</v>
      </c>
      <c r="I61" s="471" t="s">
        <v>310</v>
      </c>
      <c r="J61" s="471" t="s">
        <v>310</v>
      </c>
      <c r="K61" s="471" t="s">
        <v>311</v>
      </c>
      <c r="L61" s="471" t="s">
        <v>365</v>
      </c>
      <c r="M61" s="427"/>
      <c r="N61" s="427"/>
      <c r="O61" s="173"/>
    </row>
    <row r="62" spans="1:15">
      <c r="A62" s="430"/>
      <c r="B62" s="483"/>
      <c r="C62" s="484"/>
      <c r="D62" s="484"/>
      <c r="E62" s="484"/>
      <c r="F62" s="421"/>
      <c r="G62" s="484"/>
      <c r="I62" s="484"/>
      <c r="J62" s="484"/>
      <c r="K62" s="484"/>
      <c r="L62" s="173"/>
      <c r="M62" s="427"/>
      <c r="N62" s="427"/>
      <c r="O62" s="173"/>
    </row>
    <row r="63" spans="1:15" ht="14.25">
      <c r="A63" s="430">
        <f>+A61+1</f>
        <v>27</v>
      </c>
      <c r="B63" s="970" t="s">
        <v>1022</v>
      </c>
      <c r="C63" s="971" t="s">
        <v>1023</v>
      </c>
      <c r="D63" s="996">
        <v>0</v>
      </c>
      <c r="E63" s="486">
        <f t="shared" ref="E63:E68" si="4">+D63-K63</f>
        <v>0</v>
      </c>
      <c r="F63" s="421"/>
      <c r="G63" s="487"/>
      <c r="I63" s="487">
        <f>+D63</f>
        <v>0</v>
      </c>
      <c r="J63" s="487"/>
      <c r="K63" s="487">
        <f t="shared" ref="K63:K78" si="5">+G63+I63+J63</f>
        <v>0</v>
      </c>
      <c r="L63" s="173"/>
      <c r="M63" s="427"/>
      <c r="N63" s="427"/>
      <c r="O63" s="173"/>
    </row>
    <row r="64" spans="1:15" ht="14.25">
      <c r="A64" s="430">
        <f>+A63+1</f>
        <v>28</v>
      </c>
      <c r="B64" s="970" t="s">
        <v>870</v>
      </c>
      <c r="C64" s="971" t="s">
        <v>871</v>
      </c>
      <c r="D64" s="996">
        <v>7185.6900000000005</v>
      </c>
      <c r="E64" s="486">
        <f t="shared" si="4"/>
        <v>0</v>
      </c>
      <c r="F64" s="421"/>
      <c r="G64" s="487"/>
      <c r="I64" s="487">
        <f>+D64</f>
        <v>7185.6900000000005</v>
      </c>
      <c r="J64" s="487"/>
      <c r="K64" s="487">
        <f t="shared" si="5"/>
        <v>7185.6900000000005</v>
      </c>
      <c r="L64" s="173"/>
      <c r="M64" s="427"/>
      <c r="N64" s="427"/>
      <c r="O64" s="173"/>
    </row>
    <row r="65" spans="1:15" ht="14.25">
      <c r="A65" s="430">
        <f t="shared" ref="A65:A78" si="6">+A64+1</f>
        <v>29</v>
      </c>
      <c r="B65" s="969"/>
      <c r="C65" s="971"/>
      <c r="D65" s="996"/>
      <c r="E65" s="486">
        <f t="shared" si="4"/>
        <v>0</v>
      </c>
      <c r="F65" s="421"/>
      <c r="G65" s="487"/>
      <c r="I65" s="487">
        <f>+D65</f>
        <v>0</v>
      </c>
      <c r="J65" s="487"/>
      <c r="K65" s="487">
        <f t="shared" si="5"/>
        <v>0</v>
      </c>
      <c r="L65" s="173"/>
      <c r="M65" s="427"/>
      <c r="N65" s="427"/>
      <c r="O65" s="173"/>
    </row>
    <row r="66" spans="1:15" ht="14.25">
      <c r="A66" s="430">
        <f t="shared" si="6"/>
        <v>30</v>
      </c>
      <c r="B66" s="969"/>
      <c r="C66" s="971"/>
      <c r="D66" s="996"/>
      <c r="E66" s="486">
        <f t="shared" si="4"/>
        <v>0</v>
      </c>
      <c r="F66" s="421"/>
      <c r="G66" s="487"/>
      <c r="I66" s="487">
        <f>+D66</f>
        <v>0</v>
      </c>
      <c r="J66" s="487"/>
      <c r="K66" s="487">
        <f t="shared" si="5"/>
        <v>0</v>
      </c>
      <c r="L66" s="173"/>
      <c r="M66" s="427"/>
      <c r="N66" s="427"/>
      <c r="O66" s="173"/>
    </row>
    <row r="67" spans="1:15" ht="14.25">
      <c r="A67" s="430">
        <f t="shared" si="6"/>
        <v>31</v>
      </c>
      <c r="B67" s="969"/>
      <c r="C67" s="971"/>
      <c r="D67" s="996"/>
      <c r="E67" s="486">
        <f t="shared" si="4"/>
        <v>0</v>
      </c>
      <c r="F67" s="421"/>
      <c r="G67" s="487"/>
      <c r="I67" s="487">
        <f>+D67</f>
        <v>0</v>
      </c>
      <c r="J67" s="487"/>
      <c r="K67" s="487">
        <f t="shared" si="5"/>
        <v>0</v>
      </c>
      <c r="L67" s="392"/>
      <c r="M67" s="427"/>
      <c r="N67" s="427"/>
      <c r="O67" s="173"/>
    </row>
    <row r="68" spans="1:15" ht="14.25">
      <c r="A68" s="430">
        <f t="shared" si="6"/>
        <v>32</v>
      </c>
      <c r="B68" s="970"/>
      <c r="C68" s="971"/>
      <c r="D68" s="996"/>
      <c r="E68" s="487">
        <f t="shared" si="4"/>
        <v>0</v>
      </c>
      <c r="F68" s="421"/>
      <c r="G68" s="487"/>
      <c r="I68" s="487"/>
      <c r="J68" s="487"/>
      <c r="K68" s="487">
        <f t="shared" si="5"/>
        <v>0</v>
      </c>
      <c r="L68" s="392"/>
      <c r="M68" s="427"/>
      <c r="N68" s="427"/>
      <c r="O68" s="173"/>
    </row>
    <row r="69" spans="1:15" ht="14.25">
      <c r="A69" s="430">
        <f t="shared" si="6"/>
        <v>33</v>
      </c>
      <c r="B69" s="970"/>
      <c r="C69" s="971"/>
      <c r="D69" s="996"/>
      <c r="E69" s="488">
        <f>+D69</f>
        <v>0</v>
      </c>
      <c r="F69" s="421"/>
      <c r="G69" s="488"/>
      <c r="I69" s="488"/>
      <c r="J69" s="488"/>
      <c r="K69" s="488">
        <f t="shared" si="5"/>
        <v>0</v>
      </c>
      <c r="L69" s="392"/>
      <c r="M69" s="427"/>
      <c r="N69" s="427"/>
      <c r="O69" s="173"/>
    </row>
    <row r="70" spans="1:15" ht="14.25">
      <c r="A70" s="430">
        <f t="shared" si="6"/>
        <v>34</v>
      </c>
      <c r="B70" s="970"/>
      <c r="C70" s="971"/>
      <c r="D70" s="996"/>
      <c r="E70" s="487">
        <f>+D70-K70</f>
        <v>0</v>
      </c>
      <c r="F70" s="421"/>
      <c r="G70" s="487"/>
      <c r="I70" s="487"/>
      <c r="J70" s="487"/>
      <c r="K70" s="488">
        <f t="shared" si="5"/>
        <v>0</v>
      </c>
      <c r="L70" s="348"/>
      <c r="M70" s="427"/>
      <c r="N70" s="427"/>
      <c r="O70" s="173"/>
    </row>
    <row r="71" spans="1:15" ht="14.25">
      <c r="A71" s="430">
        <f t="shared" si="6"/>
        <v>35</v>
      </c>
      <c r="B71" s="970"/>
      <c r="C71" s="971"/>
      <c r="D71" s="996"/>
      <c r="E71" s="487"/>
      <c r="F71" s="421"/>
      <c r="G71" s="487"/>
      <c r="I71" s="487"/>
      <c r="J71" s="487"/>
      <c r="K71" s="488">
        <f t="shared" si="5"/>
        <v>0</v>
      </c>
      <c r="L71" s="392"/>
      <c r="M71" s="427"/>
      <c r="N71" s="427"/>
      <c r="O71" s="173"/>
    </row>
    <row r="72" spans="1:15" ht="14.25">
      <c r="A72" s="430">
        <f>+A69+1</f>
        <v>34</v>
      </c>
      <c r="B72" s="970"/>
      <c r="C72" s="971"/>
      <c r="D72" s="996"/>
      <c r="E72" s="487">
        <f>+D72</f>
        <v>0</v>
      </c>
      <c r="F72" s="421"/>
      <c r="G72" s="487"/>
      <c r="I72" s="487"/>
      <c r="J72" s="487"/>
      <c r="K72" s="488">
        <f t="shared" si="5"/>
        <v>0</v>
      </c>
      <c r="L72" s="392"/>
      <c r="M72" s="427"/>
      <c r="N72" s="427"/>
      <c r="O72" s="173"/>
    </row>
    <row r="73" spans="1:15" ht="14.25">
      <c r="A73" s="430">
        <f t="shared" si="6"/>
        <v>35</v>
      </c>
      <c r="B73" s="970"/>
      <c r="C73" s="971"/>
      <c r="D73" s="996"/>
      <c r="E73" s="487">
        <v>0</v>
      </c>
      <c r="F73" s="421"/>
      <c r="G73" s="487"/>
      <c r="I73" s="487">
        <f>D73</f>
        <v>0</v>
      </c>
      <c r="J73" s="489"/>
      <c r="K73" s="488">
        <f t="shared" si="5"/>
        <v>0</v>
      </c>
      <c r="L73" s="173"/>
      <c r="M73" s="427"/>
      <c r="N73" s="427"/>
      <c r="O73" s="173"/>
    </row>
    <row r="74" spans="1:15" ht="14.25">
      <c r="A74" s="430">
        <f t="shared" si="6"/>
        <v>36</v>
      </c>
      <c r="B74" s="970"/>
      <c r="C74" s="971"/>
      <c r="D74" s="996"/>
      <c r="E74" s="486">
        <v>0</v>
      </c>
      <c r="F74" s="421"/>
      <c r="G74" s="487"/>
      <c r="I74" s="487">
        <f>D74</f>
        <v>0</v>
      </c>
      <c r="J74" s="489">
        <v>0</v>
      </c>
      <c r="K74" s="488">
        <f t="shared" si="5"/>
        <v>0</v>
      </c>
      <c r="L74" s="173"/>
      <c r="M74" s="427"/>
      <c r="N74" s="427"/>
      <c r="O74" s="173"/>
    </row>
    <row r="75" spans="1:15" ht="14.25">
      <c r="A75" s="430">
        <f t="shared" si="6"/>
        <v>37</v>
      </c>
      <c r="B75" s="970"/>
      <c r="C75" s="971"/>
      <c r="D75" s="996"/>
      <c r="E75" s="486">
        <f>+D75-K75</f>
        <v>0</v>
      </c>
      <c r="F75" s="421"/>
      <c r="G75" s="487"/>
      <c r="I75" s="487"/>
      <c r="J75" s="489">
        <f>D75</f>
        <v>0</v>
      </c>
      <c r="K75" s="488">
        <f t="shared" si="5"/>
        <v>0</v>
      </c>
      <c r="L75" s="392"/>
      <c r="M75" s="427"/>
      <c r="N75" s="427"/>
      <c r="O75" s="173"/>
    </row>
    <row r="76" spans="1:15" ht="14.25">
      <c r="A76" s="430">
        <f t="shared" si="6"/>
        <v>38</v>
      </c>
      <c r="B76" s="970"/>
      <c r="C76" s="971"/>
      <c r="D76" s="996"/>
      <c r="E76" s="486">
        <f>+D76-K76</f>
        <v>0</v>
      </c>
      <c r="F76" s="421"/>
      <c r="G76" s="487"/>
      <c r="I76" s="487"/>
      <c r="J76" s="489">
        <f>D76</f>
        <v>0</v>
      </c>
      <c r="K76" s="488">
        <f t="shared" si="5"/>
        <v>0</v>
      </c>
      <c r="L76" s="392"/>
      <c r="M76" s="427"/>
      <c r="N76" s="427"/>
      <c r="O76" s="173"/>
    </row>
    <row r="77" spans="1:15" ht="14.25">
      <c r="A77" s="430">
        <f t="shared" si="6"/>
        <v>39</v>
      </c>
      <c r="B77" s="970"/>
      <c r="C77" s="971"/>
      <c r="D77" s="996"/>
      <c r="E77" s="486">
        <f>+D77-K77</f>
        <v>0</v>
      </c>
      <c r="F77" s="421"/>
      <c r="G77" s="487"/>
      <c r="I77" s="487"/>
      <c r="J77" s="489">
        <f>D77</f>
        <v>0</v>
      </c>
      <c r="K77" s="488">
        <f t="shared" si="5"/>
        <v>0</v>
      </c>
      <c r="L77" s="392"/>
      <c r="M77" s="427"/>
      <c r="N77" s="427"/>
      <c r="O77" s="173"/>
    </row>
    <row r="78" spans="1:15" ht="15" thickBot="1">
      <c r="A78" s="430">
        <f t="shared" si="6"/>
        <v>40</v>
      </c>
      <c r="B78" s="970"/>
      <c r="C78" s="971"/>
      <c r="D78" s="996"/>
      <c r="E78" s="486"/>
      <c r="F78" s="421"/>
      <c r="G78" s="487"/>
      <c r="I78" s="487"/>
      <c r="J78" s="487">
        <f>D78</f>
        <v>0</v>
      </c>
      <c r="K78" s="488">
        <f t="shared" si="5"/>
        <v>0</v>
      </c>
      <c r="L78" s="392"/>
      <c r="M78" s="427"/>
      <c r="N78" s="427"/>
      <c r="O78" s="173"/>
    </row>
    <row r="79" spans="1:15">
      <c r="A79" s="430"/>
      <c r="B79" s="483"/>
      <c r="C79" s="1239" t="s">
        <v>623</v>
      </c>
      <c r="D79" s="491">
        <f>SUM(D63:D78)</f>
        <v>7185.6900000000005</v>
      </c>
      <c r="E79" s="492">
        <f>SUM(E63:E78)</f>
        <v>0</v>
      </c>
      <c r="F79" s="421"/>
      <c r="G79" s="491">
        <f>SUM(G63:G78)</f>
        <v>0</v>
      </c>
      <c r="I79" s="491">
        <f>SUM(I63:I78)</f>
        <v>7185.6900000000005</v>
      </c>
      <c r="J79" s="491">
        <f>SUM(J63:J78)</f>
        <v>0</v>
      </c>
      <c r="K79" s="491">
        <f>SUM(K63:K78)</f>
        <v>7185.6900000000005</v>
      </c>
      <c r="L79" s="173"/>
      <c r="M79" s="427"/>
      <c r="N79" s="427"/>
      <c r="O79" s="173"/>
    </row>
    <row r="80" spans="1:15">
      <c r="A80" s="430"/>
      <c r="B80" s="430"/>
      <c r="C80" s="173"/>
      <c r="D80" s="173"/>
      <c r="E80" s="173"/>
      <c r="F80" s="173"/>
      <c r="G80" s="173"/>
      <c r="H80" s="173"/>
      <c r="I80" s="173"/>
      <c r="J80" s="173"/>
      <c r="K80" s="173"/>
      <c r="L80" s="173"/>
      <c r="M80" s="427"/>
      <c r="N80" s="427"/>
      <c r="O80" s="173"/>
    </row>
    <row r="81" spans="1:15" ht="20.25" customHeight="1">
      <c r="A81" s="1122" t="s">
        <v>690</v>
      </c>
      <c r="B81" s="1492" t="s">
        <v>776</v>
      </c>
      <c r="C81" s="1492"/>
      <c r="D81" s="1492"/>
      <c r="E81" s="1492"/>
      <c r="F81" s="1492"/>
      <c r="G81" s="1492"/>
      <c r="H81" s="1492"/>
      <c r="I81" s="1492"/>
      <c r="J81" s="1492"/>
      <c r="K81" s="1492"/>
      <c r="L81" s="1492"/>
      <c r="M81" s="427"/>
      <c r="N81" s="427"/>
      <c r="O81" s="173"/>
    </row>
    <row r="82" spans="1:15" ht="20.25" customHeight="1">
      <c r="A82" s="1240"/>
      <c r="B82" s="1492"/>
      <c r="C82" s="1492"/>
      <c r="D82" s="1492"/>
      <c r="E82" s="1492"/>
      <c r="F82" s="1492"/>
      <c r="G82" s="1492"/>
      <c r="H82" s="1492"/>
      <c r="I82" s="1492"/>
      <c r="J82" s="1492"/>
      <c r="K82" s="1492"/>
      <c r="L82" s="1492"/>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G12:G13"/>
    <mergeCell ref="B81:L82"/>
    <mergeCell ref="B10:K10"/>
    <mergeCell ref="A3:L3"/>
    <mergeCell ref="A4:L4"/>
    <mergeCell ref="A5:L5"/>
    <mergeCell ref="A6:L6"/>
    <mergeCell ref="B58:J58"/>
    <mergeCell ref="B24:K24"/>
    <mergeCell ref="E12:E13"/>
    <mergeCell ref="I12:I13"/>
    <mergeCell ref="B34:J34"/>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A4" sqref="D4"/>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4" t="s">
        <v>408</v>
      </c>
    </row>
    <row r="2" spans="1:15" ht="15.75">
      <c r="A2" s="1004" t="s">
        <v>408</v>
      </c>
    </row>
    <row r="3" spans="1:15" ht="15">
      <c r="A3" s="1464" t="str">
        <f>TCOS!$F$5</f>
        <v>AEPTCo subsidiaries in PJM</v>
      </c>
      <c r="B3" s="1464" t="str">
        <f>TCOS!$F$5</f>
        <v>AEPTCo subsidiaries in PJM</v>
      </c>
      <c r="C3" s="1464" t="str">
        <f>TCOS!$F$5</f>
        <v>AEPTCo subsidiaries in PJM</v>
      </c>
      <c r="D3" s="1464" t="str">
        <f>TCOS!$F$5</f>
        <v>AEPTCo subsidiaries in PJM</v>
      </c>
      <c r="E3" s="1464" t="str">
        <f>TCOS!$F$5</f>
        <v>AEPTCo subsidiaries in PJM</v>
      </c>
      <c r="F3" s="420"/>
      <c r="G3" s="420"/>
      <c r="H3" s="420"/>
      <c r="I3" s="420"/>
      <c r="J3" s="420"/>
      <c r="K3" s="420"/>
      <c r="L3" s="420"/>
      <c r="M3" s="420"/>
      <c r="N3" s="420"/>
      <c r="O3" s="420"/>
    </row>
    <row r="4" spans="1:15" ht="15">
      <c r="A4" s="1494" t="str">
        <f>"Cost of Service Formula Rate Using Actual/Projected FF1 Balances"</f>
        <v>Cost of Service Formula Rate Using Actual/Projected FF1 Balances</v>
      </c>
      <c r="B4" s="1494"/>
      <c r="C4" s="1494"/>
      <c r="D4" s="1494"/>
      <c r="E4" s="1494"/>
      <c r="F4" s="422"/>
      <c r="G4" s="422"/>
      <c r="H4" s="422"/>
      <c r="I4" s="422"/>
      <c r="J4" s="422"/>
      <c r="K4" s="422"/>
      <c r="L4" s="422"/>
      <c r="M4" s="440"/>
      <c r="N4" s="440"/>
      <c r="O4" s="440"/>
    </row>
    <row r="5" spans="1:15" ht="15">
      <c r="A5" s="1494" t="s">
        <v>545</v>
      </c>
      <c r="B5" s="1494"/>
      <c r="C5" s="1494"/>
      <c r="D5" s="1494"/>
      <c r="E5" s="1494"/>
      <c r="F5" s="422"/>
      <c r="G5" s="422"/>
      <c r="H5" s="422"/>
      <c r="I5" s="422"/>
      <c r="J5" s="422"/>
      <c r="K5" s="422"/>
      <c r="L5" s="422"/>
      <c r="M5" s="422"/>
      <c r="N5" s="422"/>
      <c r="O5" s="422"/>
    </row>
    <row r="6" spans="1:15" ht="15">
      <c r="A6" s="1495" t="str">
        <f>TCOS!F9</f>
        <v>AEP Appalachian Transmission Company</v>
      </c>
      <c r="B6" s="1495"/>
      <c r="C6" s="1495"/>
      <c r="D6" s="1495"/>
      <c r="E6" s="1495"/>
      <c r="F6" s="169"/>
      <c r="G6" s="169"/>
      <c r="H6" s="169"/>
      <c r="I6" s="169"/>
      <c r="J6" s="169"/>
      <c r="K6" s="169"/>
      <c r="L6" s="169"/>
      <c r="M6" s="169"/>
      <c r="N6" s="169"/>
      <c r="O6" s="169"/>
    </row>
    <row r="8" spans="1:15">
      <c r="A8" s="500" t="s">
        <v>461</v>
      </c>
      <c r="B8" s="501" t="s">
        <v>454</v>
      </c>
      <c r="C8" s="501" t="s">
        <v>455</v>
      </c>
    </row>
    <row r="9" spans="1:15">
      <c r="A9" s="500" t="s">
        <v>399</v>
      </c>
      <c r="B9" s="500" t="s">
        <v>459</v>
      </c>
      <c r="C9" s="500">
        <f>+TCOS!L4</f>
        <v>2024</v>
      </c>
    </row>
    <row r="10" spans="1:15">
      <c r="A10" s="502"/>
      <c r="B10" s="503"/>
      <c r="C10" s="501"/>
    </row>
    <row r="11" spans="1:15">
      <c r="A11" s="273">
        <v>1</v>
      </c>
      <c r="B11" s="1241" t="str">
        <f>"Net Funds from IPP Customers 12/31/"&amp;TCOS!L4-1&amp;" ("&amp;TCOS!L4&amp;" FORM 1, P269)"</f>
        <v>Net Funds from IPP Customers 12/31/2023 (2024 FORM 1, P269)</v>
      </c>
      <c r="C11" s="516">
        <v>0</v>
      </c>
      <c r="D11" s="392"/>
    </row>
    <row r="12" spans="1:15">
      <c r="B12" s="348"/>
      <c r="D12" s="392"/>
    </row>
    <row r="13" spans="1:15">
      <c r="A13" s="504">
        <v>2</v>
      </c>
      <c r="B13" s="1241" t="s">
        <v>251</v>
      </c>
      <c r="C13" s="516">
        <v>0</v>
      </c>
      <c r="D13" s="392"/>
    </row>
    <row r="14" spans="1:15">
      <c r="A14" s="504"/>
      <c r="B14" s="1241"/>
      <c r="D14" s="392"/>
    </row>
    <row r="15" spans="1:15">
      <c r="A15" s="504">
        <f>+A13+1</f>
        <v>3</v>
      </c>
      <c r="B15" s="1241" t="s">
        <v>329</v>
      </c>
      <c r="C15" s="516">
        <v>0</v>
      </c>
      <c r="D15" s="392"/>
    </row>
    <row r="16" spans="1:15">
      <c r="A16" s="504"/>
      <c r="B16" s="1241"/>
      <c r="D16" s="392"/>
    </row>
    <row r="17" spans="1:4">
      <c r="A17" s="504">
        <f>+A15+1</f>
        <v>4</v>
      </c>
      <c r="B17" s="1242" t="s">
        <v>0</v>
      </c>
      <c r="D17" s="392"/>
    </row>
    <row r="18" spans="1:4">
      <c r="A18" s="505">
        <f>+A17+1</f>
        <v>5</v>
      </c>
      <c r="B18" s="1241" t="s">
        <v>330</v>
      </c>
      <c r="C18" s="516">
        <v>0</v>
      </c>
      <c r="D18" s="392"/>
    </row>
    <row r="19" spans="1:4">
      <c r="A19" s="505">
        <f>+A18+1</f>
        <v>6</v>
      </c>
      <c r="B19" s="1243" t="s">
        <v>408</v>
      </c>
      <c r="C19" s="516">
        <v>0</v>
      </c>
      <c r="D19" s="392"/>
    </row>
    <row r="20" spans="1:4">
      <c r="A20" s="505"/>
      <c r="B20" s="348"/>
      <c r="C20" s="508"/>
      <c r="D20" s="392"/>
    </row>
    <row r="21" spans="1:4">
      <c r="A21" s="505">
        <f>+A19+1</f>
        <v>7</v>
      </c>
      <c r="B21" s="1241" t="str">
        <f>"Net Funds from IPP Customers 12/31/"&amp;TCOS!L4&amp;" ("&amp;TCOS!L4&amp;" FORM 1, P269)"</f>
        <v>Net Funds from IPP Customers 12/31/2024 (2024 FORM 1, P269)</v>
      </c>
      <c r="C21" s="509">
        <f>+C11+C13+C15+C18+C19</f>
        <v>0</v>
      </c>
      <c r="D21" s="510"/>
    </row>
    <row r="22" spans="1:4">
      <c r="A22" s="505"/>
      <c r="B22" s="507"/>
      <c r="D22" s="392"/>
    </row>
    <row r="23" spans="1:4">
      <c r="A23" s="505">
        <f>+A21+1</f>
        <v>8</v>
      </c>
      <c r="B23" s="506" t="str">
        <f>"Average Balance for Year as Indicated in Column ((ln "&amp;A11&amp;" + ln "&amp;A21&amp;")/2)"</f>
        <v>Average Balance for Year as Indicated in Column ((ln 1 + ln 7)/2)</v>
      </c>
      <c r="C23" s="511">
        <f>AVERAGE(C21,C11)</f>
        <v>0</v>
      </c>
      <c r="D23" s="392"/>
    </row>
    <row r="24" spans="1:4">
      <c r="A24" s="505"/>
      <c r="B24" s="507"/>
      <c r="D24" s="392"/>
    </row>
    <row r="25" spans="1:4">
      <c r="A25" s="505"/>
      <c r="B25" s="507"/>
      <c r="C25" s="509"/>
      <c r="D25" s="392"/>
    </row>
    <row r="26" spans="1:4" ht="15">
      <c r="A26" s="512" t="s">
        <v>287</v>
      </c>
      <c r="B26" s="1500" t="str">
        <f>"On this worksheet Company Records refers to  "&amp;A6&amp;"'s general ledger."</f>
        <v>On this worksheet Company Records refers to  AEP Appalachian Transmission Company's general ledger.</v>
      </c>
      <c r="C26" s="410"/>
      <c r="D26" s="392"/>
    </row>
    <row r="27" spans="1:4">
      <c r="A27" s="513"/>
      <c r="B27" s="1501"/>
      <c r="D27" s="392"/>
    </row>
    <row r="28" spans="1:4">
      <c r="D28" s="392"/>
    </row>
    <row r="29" spans="1:4">
      <c r="D29" s="392"/>
    </row>
    <row r="30" spans="1:4">
      <c r="D30" s="392"/>
    </row>
    <row r="31" spans="1:4">
      <c r="D31" s="392"/>
    </row>
    <row r="32" spans="1:4">
      <c r="D32" s="514"/>
    </row>
    <row r="33" spans="1:4">
      <c r="D33" s="392"/>
    </row>
    <row r="34" spans="1:4">
      <c r="D34" s="392"/>
    </row>
    <row r="35" spans="1:4">
      <c r="D35" s="392"/>
    </row>
    <row r="36" spans="1:4">
      <c r="A36" s="502"/>
      <c r="B36" s="392"/>
      <c r="C36" s="392"/>
      <c r="D36" s="392"/>
    </row>
    <row r="37" spans="1:4">
      <c r="A37" s="502"/>
      <c r="B37" s="392"/>
      <c r="C37" s="392"/>
    </row>
    <row r="38" spans="1:4">
      <c r="C38" s="515"/>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7" zoomScaleNormal="100" workbookViewId="0">
      <selection activeCell="A4" sqref="D4"/>
    </sheetView>
  </sheetViews>
  <sheetFormatPr defaultRowHeight="15"/>
  <cols>
    <col min="1" max="1" width="9.42578125" style="517" customWidth="1"/>
    <col min="2" max="2" width="6.7109375" style="517" customWidth="1"/>
    <col min="3" max="7" width="12.7109375" style="517" customWidth="1"/>
    <col min="8" max="8" width="19.28515625" style="517" customWidth="1"/>
    <col min="9" max="9" width="15" style="517" bestFit="1" customWidth="1"/>
    <col min="10" max="11" width="16.5703125" style="517" bestFit="1" customWidth="1"/>
    <col min="12" max="13" width="22.140625" style="517" bestFit="1" customWidth="1"/>
    <col min="14" max="14" width="8.42578125" style="517" customWidth="1"/>
    <col min="15" max="38" width="12.7109375" style="517" customWidth="1"/>
    <col min="39" max="16384" width="9.140625" style="517"/>
  </cols>
  <sheetData>
    <row r="1" spans="1:22" ht="15.75">
      <c r="A1" s="1004" t="s">
        <v>408</v>
      </c>
    </row>
    <row r="2" spans="1:22" ht="15.75">
      <c r="A2" s="1004" t="s">
        <v>408</v>
      </c>
    </row>
    <row r="3" spans="1:22">
      <c r="A3" s="1464" t="str">
        <f>TCOS!$F$5</f>
        <v>AEPTCo subsidiaries in PJM</v>
      </c>
      <c r="B3" s="1464" t="str">
        <f>TCOS!$F$5</f>
        <v>AEPTCo subsidiaries in PJM</v>
      </c>
      <c r="C3" s="1464" t="str">
        <f>TCOS!$F$5</f>
        <v>AEPTCo subsidiaries in PJM</v>
      </c>
      <c r="D3" s="1464" t="str">
        <f>TCOS!$F$5</f>
        <v>AEPTCo subsidiaries in PJM</v>
      </c>
      <c r="E3" s="1464" t="str">
        <f>TCOS!$F$5</f>
        <v>AEPTCo subsidiaries in PJM</v>
      </c>
      <c r="F3" s="1464" t="str">
        <f>TCOS!$F$5</f>
        <v>AEPTCo subsidiaries in PJM</v>
      </c>
      <c r="G3" s="1464" t="str">
        <f>TCOS!$F$5</f>
        <v>AEPTCo subsidiaries in PJM</v>
      </c>
      <c r="H3" s="1464" t="str">
        <f>TCOS!$F$5</f>
        <v>AEPTCo subsidiaries in PJM</v>
      </c>
      <c r="I3" s="1464" t="str">
        <f>TCOS!$F$5</f>
        <v>AEPTCo subsidiaries in PJM</v>
      </c>
      <c r="J3" s="1464" t="str">
        <f>TCOS!$F$5</f>
        <v>AEPTCo subsidiaries in PJM</v>
      </c>
      <c r="K3" s="1464" t="str">
        <f>TCOS!$F$5</f>
        <v>AEPTCo subsidiaries in PJM</v>
      </c>
      <c r="L3" s="420"/>
      <c r="M3" s="420"/>
      <c r="N3" s="420"/>
      <c r="O3" s="420"/>
    </row>
    <row r="4" spans="1:22">
      <c r="A4" s="1494" t="str">
        <f>"Cost of Service Formula Rate Using Actual/Projected FF1 Balances"</f>
        <v>Cost of Service Formula Rate Using Actual/Projected FF1 Balances</v>
      </c>
      <c r="B4" s="1494"/>
      <c r="C4" s="1494"/>
      <c r="D4" s="1494"/>
      <c r="E4" s="1494"/>
      <c r="F4" s="1494"/>
      <c r="G4" s="1494"/>
      <c r="H4" s="1494"/>
      <c r="I4" s="1494"/>
      <c r="J4" s="1494"/>
      <c r="K4" s="1494"/>
      <c r="L4" s="440"/>
      <c r="M4" s="440"/>
      <c r="N4" s="440"/>
      <c r="O4" s="440"/>
    </row>
    <row r="5" spans="1:22">
      <c r="A5" s="1494" t="s">
        <v>22</v>
      </c>
      <c r="B5" s="1494"/>
      <c r="C5" s="1494"/>
      <c r="D5" s="1494"/>
      <c r="E5" s="1494"/>
      <c r="F5" s="1494"/>
      <c r="G5" s="1494"/>
      <c r="H5" s="1494"/>
      <c r="I5" s="1494"/>
      <c r="J5" s="1494"/>
      <c r="K5" s="1494"/>
      <c r="L5" s="422"/>
      <c r="M5" s="422"/>
      <c r="N5" s="422"/>
      <c r="O5" s="422"/>
    </row>
    <row r="6" spans="1:22">
      <c r="A6" s="1495" t="str">
        <f>TCOS!F9</f>
        <v>AEP Appalachian Transmission Company</v>
      </c>
      <c r="B6" s="1495"/>
      <c r="C6" s="1495"/>
      <c r="D6" s="1495"/>
      <c r="E6" s="1495"/>
      <c r="F6" s="1495"/>
      <c r="G6" s="1495"/>
      <c r="H6" s="1495"/>
      <c r="I6" s="1495"/>
      <c r="J6" s="1495"/>
      <c r="K6" s="1495"/>
      <c r="L6" s="169"/>
      <c r="M6" s="169"/>
      <c r="N6" s="169"/>
      <c r="O6" s="169"/>
    </row>
    <row r="7" spans="1:22">
      <c r="A7" s="518"/>
      <c r="B7" s="518"/>
      <c r="C7" s="518"/>
      <c r="D7" s="518"/>
      <c r="E7" s="518"/>
      <c r="F7" s="518"/>
      <c r="G7" s="518"/>
      <c r="H7" s="518"/>
      <c r="I7" s="518"/>
      <c r="J7" s="518"/>
      <c r="K7" s="518"/>
      <c r="L7" s="518"/>
      <c r="M7" s="518"/>
      <c r="N7" s="518"/>
      <c r="O7" s="518"/>
    </row>
    <row r="8" spans="1:22" ht="18">
      <c r="A8" s="1504"/>
      <c r="B8" s="1504"/>
      <c r="C8" s="1504"/>
      <c r="D8" s="1504"/>
      <c r="E8" s="1504"/>
      <c r="F8" s="1504"/>
      <c r="G8" s="1504"/>
      <c r="H8" s="1504"/>
      <c r="I8" s="1504"/>
      <c r="J8" s="1504"/>
      <c r="K8" s="1504"/>
      <c r="L8" s="520"/>
      <c r="M8" s="521"/>
    </row>
    <row r="9" spans="1:22" ht="18">
      <c r="A9" s="519"/>
      <c r="B9" s="519"/>
      <c r="C9" s="519"/>
      <c r="D9" s="519"/>
      <c r="E9" s="519"/>
      <c r="F9" s="519"/>
      <c r="G9" s="519"/>
      <c r="H9" s="519"/>
      <c r="I9" s="519"/>
      <c r="J9" s="519"/>
      <c r="K9" s="519"/>
      <c r="L9" s="520"/>
      <c r="M9" s="521"/>
    </row>
    <row r="10" spans="1:22" ht="15.75">
      <c r="A10" s="522" t="s">
        <v>461</v>
      </c>
      <c r="B10" s="520"/>
      <c r="C10" s="523"/>
      <c r="D10" s="523"/>
      <c r="E10" s="523"/>
      <c r="F10" s="523"/>
      <c r="G10" s="524"/>
      <c r="H10" s="524"/>
      <c r="I10" s="522" t="s">
        <v>474</v>
      </c>
      <c r="J10" s="522" t="s">
        <v>357</v>
      </c>
      <c r="K10" s="525"/>
      <c r="N10" s="526"/>
      <c r="P10" s="526"/>
      <c r="R10" s="526"/>
      <c r="S10" s="526"/>
      <c r="T10" s="526"/>
      <c r="U10" s="394"/>
      <c r="V10" s="394"/>
    </row>
    <row r="11" spans="1:22" ht="15.75">
      <c r="A11" s="522" t="s">
        <v>399</v>
      </c>
      <c r="B11" s="1505" t="s">
        <v>459</v>
      </c>
      <c r="C11" s="1505"/>
      <c r="D11" s="1505"/>
      <c r="E11" s="1505"/>
      <c r="F11" s="1505"/>
      <c r="G11" s="1505"/>
      <c r="H11" s="1505"/>
      <c r="I11" s="527" t="s">
        <v>475</v>
      </c>
      <c r="J11" s="527" t="s">
        <v>409</v>
      </c>
      <c r="K11" s="527" t="s">
        <v>409</v>
      </c>
      <c r="N11" s="526"/>
      <c r="O11" s="526"/>
      <c r="P11" s="526"/>
      <c r="Q11" s="526"/>
      <c r="R11" s="526"/>
      <c r="S11" s="526"/>
      <c r="T11" s="528"/>
      <c r="U11" s="394"/>
      <c r="V11" s="394"/>
    </row>
    <row r="12" spans="1:22" ht="15.75">
      <c r="A12" s="524"/>
      <c r="B12" s="529"/>
      <c r="C12" s="520"/>
      <c r="D12" s="524"/>
      <c r="E12" s="524"/>
      <c r="F12" s="524"/>
      <c r="G12" s="524"/>
      <c r="H12" s="524"/>
      <c r="I12" s="524"/>
      <c r="J12" s="524"/>
      <c r="K12" s="530"/>
      <c r="N12" s="526"/>
      <c r="O12" s="526"/>
      <c r="P12" s="526"/>
      <c r="Q12" s="526"/>
      <c r="R12" s="526"/>
      <c r="S12" s="526"/>
      <c r="T12" s="528"/>
      <c r="U12" s="394"/>
      <c r="V12" s="394"/>
    </row>
    <row r="13" spans="1:22" s="533" customFormat="1" ht="12.75">
      <c r="A13" s="531">
        <v>1</v>
      </c>
      <c r="B13" s="532" t="s">
        <v>9</v>
      </c>
      <c r="D13" s="534"/>
      <c r="E13" s="534"/>
      <c r="F13" s="535"/>
      <c r="G13" s="534"/>
      <c r="H13" s="534"/>
      <c r="I13" s="557"/>
      <c r="J13" s="536">
        <f>+I13-K13</f>
        <v>0</v>
      </c>
      <c r="K13" s="557"/>
      <c r="N13" s="314"/>
      <c r="O13" s="314"/>
      <c r="P13" s="314"/>
      <c r="Q13" s="314"/>
      <c r="R13" s="314"/>
      <c r="S13" s="314"/>
      <c r="T13" s="537"/>
      <c r="U13" s="314"/>
      <c r="V13" s="314"/>
    </row>
    <row r="14" spans="1:22" s="533" customFormat="1" ht="12.75">
      <c r="A14" s="531"/>
      <c r="B14" s="532"/>
      <c r="D14" s="534"/>
      <c r="E14" s="534"/>
      <c r="F14" s="535"/>
      <c r="G14" s="534"/>
      <c r="H14" s="534"/>
      <c r="I14" s="538"/>
      <c r="J14" s="539"/>
      <c r="K14" s="539"/>
      <c r="N14" s="314"/>
      <c r="O14" s="314"/>
      <c r="P14" s="314"/>
      <c r="Q14" s="314"/>
      <c r="R14" s="314"/>
      <c r="S14" s="314"/>
      <c r="T14" s="537"/>
      <c r="U14" s="314"/>
      <c r="V14" s="314"/>
    </row>
    <row r="15" spans="1:22" s="533" customFormat="1" ht="12.75">
      <c r="A15" s="531">
        <f>+A13+1</f>
        <v>2</v>
      </c>
      <c r="B15" s="540" t="s">
        <v>10</v>
      </c>
      <c r="D15" s="534"/>
      <c r="E15" s="534"/>
      <c r="F15" s="535"/>
      <c r="G15" s="534"/>
      <c r="H15" s="535"/>
      <c r="I15" s="557"/>
      <c r="J15" s="536">
        <f>+I15-K15</f>
        <v>0</v>
      </c>
      <c r="K15" s="557"/>
      <c r="N15" s="314"/>
      <c r="O15" s="314"/>
      <c r="P15" s="314"/>
      <c r="Q15" s="314"/>
      <c r="R15" s="314"/>
      <c r="S15" s="314"/>
      <c r="T15" s="314"/>
      <c r="U15" s="314"/>
      <c r="V15" s="314"/>
    </row>
    <row r="16" spans="1:22" s="533" customFormat="1" ht="12.75">
      <c r="A16" s="531"/>
      <c r="B16" s="540"/>
      <c r="D16" s="534"/>
      <c r="E16" s="534"/>
      <c r="F16" s="535"/>
      <c r="G16" s="534"/>
      <c r="H16" s="535"/>
      <c r="I16" s="539"/>
      <c r="J16" s="539"/>
      <c r="K16" s="541"/>
      <c r="N16" s="314"/>
      <c r="O16" s="314"/>
      <c r="P16" s="314"/>
      <c r="Q16" s="314"/>
      <c r="R16" s="314"/>
      <c r="S16" s="314"/>
      <c r="T16" s="314"/>
      <c r="U16" s="314"/>
      <c r="V16" s="314"/>
    </row>
    <row r="17" spans="1:22" s="533" customFormat="1" ht="12.75">
      <c r="A17" s="531">
        <f>+A15+1</f>
        <v>3</v>
      </c>
      <c r="B17" s="540" t="s">
        <v>11</v>
      </c>
      <c r="D17" s="534"/>
      <c r="E17" s="534"/>
      <c r="F17" s="535"/>
      <c r="G17" s="534"/>
      <c r="H17" s="534"/>
      <c r="I17" s="557"/>
      <c r="J17" s="536">
        <f>+I17-K17</f>
        <v>0</v>
      </c>
      <c r="K17" s="557"/>
      <c r="N17" s="314"/>
      <c r="O17" s="314"/>
      <c r="P17" s="314"/>
      <c r="Q17" s="314"/>
      <c r="R17" s="314"/>
      <c r="S17" s="314"/>
      <c r="T17" s="314"/>
      <c r="U17" s="314"/>
      <c r="V17" s="314"/>
    </row>
    <row r="18" spans="1:22" s="533" customFormat="1" ht="12.75">
      <c r="A18" s="531"/>
      <c r="B18" s="535"/>
      <c r="D18" s="534"/>
      <c r="E18" s="534"/>
      <c r="F18" s="535"/>
      <c r="G18" s="541"/>
      <c r="H18" s="535"/>
      <c r="I18" s="539"/>
      <c r="J18" s="539"/>
      <c r="K18" s="539"/>
      <c r="N18" s="314"/>
      <c r="O18" s="314"/>
      <c r="P18" s="314"/>
      <c r="Q18" s="314"/>
      <c r="R18" s="314"/>
      <c r="S18" s="314"/>
      <c r="T18" s="314"/>
      <c r="U18" s="314"/>
      <c r="V18" s="314"/>
    </row>
    <row r="19" spans="1:22" s="533" customFormat="1" ht="12.75">
      <c r="A19" s="1000">
        <v>4</v>
      </c>
      <c r="B19" s="1244" t="s">
        <v>768</v>
      </c>
      <c r="C19" s="348"/>
      <c r="D19" s="1245"/>
      <c r="E19" s="1245"/>
      <c r="F19" s="1245"/>
      <c r="G19" s="1001"/>
      <c r="H19" s="1245"/>
      <c r="I19" s="557"/>
      <c r="J19" s="536">
        <f>+I19-K19</f>
        <v>0</v>
      </c>
      <c r="K19" s="557"/>
      <c r="N19" s="543"/>
      <c r="O19" s="314"/>
      <c r="P19" s="314"/>
      <c r="Q19" s="314"/>
      <c r="R19" s="314"/>
      <c r="S19" s="314"/>
      <c r="T19" s="314"/>
      <c r="U19" s="314"/>
      <c r="V19" s="314"/>
    </row>
    <row r="20" spans="1:22" s="533" customFormat="1" ht="12.75">
      <c r="A20" s="1000"/>
      <c r="B20" s="1244"/>
      <c r="C20" s="348"/>
      <c r="D20" s="1245"/>
      <c r="E20" s="1245"/>
      <c r="F20" s="1245"/>
      <c r="G20" s="1001"/>
      <c r="H20" s="1245"/>
      <c r="I20" s="314"/>
      <c r="J20" s="314"/>
      <c r="K20" s="314"/>
      <c r="L20" s="314"/>
      <c r="N20" s="543"/>
      <c r="O20" s="314"/>
      <c r="P20" s="314"/>
      <c r="Q20" s="314"/>
      <c r="R20" s="314"/>
      <c r="S20" s="314"/>
      <c r="T20" s="314"/>
      <c r="U20" s="314"/>
      <c r="V20" s="314"/>
    </row>
    <row r="21" spans="1:22" s="533" customFormat="1" ht="12.75">
      <c r="A21" s="1000">
        <v>5</v>
      </c>
      <c r="B21" s="1244" t="s">
        <v>769</v>
      </c>
      <c r="C21" s="348"/>
      <c r="D21" s="1245"/>
      <c r="E21" s="1245"/>
      <c r="F21" s="1245"/>
      <c r="G21" s="1001"/>
      <c r="H21" s="1245"/>
      <c r="I21" s="557">
        <v>18216991.789999995</v>
      </c>
      <c r="J21" s="536">
        <f>+I21-K21</f>
        <v>18216991.789999995</v>
      </c>
      <c r="K21" s="557"/>
      <c r="N21" s="543"/>
      <c r="O21" s="314"/>
      <c r="P21" s="314"/>
      <c r="Q21" s="314"/>
      <c r="R21" s="314"/>
      <c r="S21" s="314"/>
      <c r="T21" s="314"/>
      <c r="U21" s="314"/>
      <c r="V21" s="314"/>
    </row>
    <row r="22" spans="1:22" s="533" customFormat="1" ht="12.75">
      <c r="A22" s="1000"/>
      <c r="B22" s="1244"/>
      <c r="C22" s="348"/>
      <c r="D22" s="1245"/>
      <c r="E22" s="1245"/>
      <c r="F22" s="1245"/>
      <c r="G22" s="1001"/>
      <c r="H22" s="1245"/>
      <c r="I22" s="557"/>
      <c r="J22" s="536"/>
      <c r="K22" s="557"/>
      <c r="N22" s="543"/>
      <c r="O22" s="314"/>
      <c r="P22" s="314"/>
      <c r="Q22" s="314"/>
      <c r="R22" s="314"/>
      <c r="S22" s="314"/>
      <c r="T22" s="314"/>
      <c r="U22" s="314"/>
      <c r="V22" s="314"/>
    </row>
    <row r="23" spans="1:22" s="533" customFormat="1" ht="12.75">
      <c r="A23" s="1000" t="s">
        <v>624</v>
      </c>
      <c r="B23" s="1244" t="s">
        <v>625</v>
      </c>
      <c r="C23" s="348"/>
      <c r="D23" s="1245"/>
      <c r="E23" s="1245"/>
      <c r="F23" s="1245"/>
      <c r="G23" s="1001"/>
      <c r="H23" s="1245"/>
      <c r="I23" s="1002"/>
      <c r="J23" s="1003">
        <v>0</v>
      </c>
      <c r="K23" s="1002"/>
      <c r="N23" s="543"/>
      <c r="O23" s="314"/>
      <c r="P23" s="314"/>
      <c r="Q23" s="314"/>
      <c r="R23" s="314"/>
      <c r="S23" s="314"/>
      <c r="T23" s="314"/>
      <c r="U23" s="314"/>
      <c r="V23" s="314"/>
    </row>
    <row r="24" spans="1:22" s="533" customFormat="1" ht="12.75">
      <c r="A24" s="1000"/>
      <c r="B24" s="1244"/>
      <c r="C24" s="348"/>
      <c r="D24" s="1245"/>
      <c r="E24" s="1245"/>
      <c r="F24" s="1245"/>
      <c r="G24" s="1001"/>
      <c r="H24" s="1245"/>
      <c r="I24" s="1002"/>
      <c r="J24" s="1003"/>
      <c r="K24" s="1002"/>
      <c r="N24" s="543"/>
      <c r="O24" s="314"/>
      <c r="P24" s="314"/>
      <c r="Q24" s="314"/>
      <c r="R24" s="314"/>
      <c r="S24" s="314"/>
      <c r="T24" s="314"/>
      <c r="U24" s="314"/>
      <c r="V24" s="314"/>
    </row>
    <row r="25" spans="1:22" s="533" customFormat="1" ht="12.75">
      <c r="A25" s="1000" t="s">
        <v>626</v>
      </c>
      <c r="B25" s="1244" t="s">
        <v>627</v>
      </c>
      <c r="C25" s="348"/>
      <c r="D25" s="1245"/>
      <c r="E25" s="1245"/>
      <c r="F25" s="1245"/>
      <c r="G25" s="1001"/>
      <c r="H25" s="1245"/>
      <c r="I25" s="1002"/>
      <c r="J25" s="1003">
        <v>0</v>
      </c>
      <c r="K25" s="1002"/>
      <c r="N25" s="543"/>
      <c r="O25" s="314"/>
      <c r="P25" s="314"/>
      <c r="Q25" s="314"/>
      <c r="R25" s="314"/>
      <c r="S25" s="314"/>
      <c r="T25" s="314"/>
      <c r="U25" s="314"/>
      <c r="V25" s="314"/>
    </row>
    <row r="26" spans="1:22" s="533" customFormat="1" ht="12.75">
      <c r="A26" s="531"/>
      <c r="B26" s="542"/>
      <c r="D26" s="534"/>
      <c r="E26" s="534"/>
      <c r="F26" s="535"/>
      <c r="G26" s="541"/>
      <c r="H26" s="535"/>
      <c r="I26" s="314"/>
      <c r="J26" s="314"/>
      <c r="K26" s="314"/>
      <c r="N26" s="314"/>
      <c r="O26" s="314"/>
      <c r="P26" s="314"/>
      <c r="Q26" s="314"/>
      <c r="R26" s="314"/>
      <c r="S26" s="314"/>
      <c r="T26" s="314"/>
      <c r="U26" s="314"/>
      <c r="V26" s="314"/>
    </row>
    <row r="27" spans="1:22" s="533" customFormat="1" ht="12.75">
      <c r="A27" s="531">
        <f>+A21+1</f>
        <v>6</v>
      </c>
      <c r="B27" s="542" t="s">
        <v>327</v>
      </c>
      <c r="D27" s="534"/>
      <c r="E27" s="534"/>
      <c r="F27" s="535"/>
      <c r="G27" s="541"/>
      <c r="H27" s="535"/>
      <c r="I27" s="545">
        <f>+I21+I19+I17+I15+I13+I23+I25</f>
        <v>18216991.789999995</v>
      </c>
      <c r="J27" s="545">
        <f>+J21+J19+J17+J15+J13+J23+J25</f>
        <v>18216991.789999995</v>
      </c>
      <c r="K27" s="545">
        <f>+K21+K19+K17+K15+K13+K23+K25</f>
        <v>0</v>
      </c>
      <c r="N27" s="314"/>
      <c r="O27" s="314"/>
      <c r="P27" s="314"/>
      <c r="Q27" s="314"/>
      <c r="R27" s="314"/>
      <c r="S27" s="314"/>
      <c r="T27" s="314"/>
      <c r="U27" s="314"/>
      <c r="V27" s="314"/>
    </row>
    <row r="28" spans="1:22" s="533" customFormat="1" ht="12.75">
      <c r="A28" s="531"/>
      <c r="B28" s="542"/>
      <c r="D28" s="534"/>
      <c r="E28" s="534"/>
      <c r="F28" s="535"/>
      <c r="G28" s="541"/>
      <c r="H28" s="535"/>
      <c r="I28" s="314"/>
      <c r="J28" s="314"/>
      <c r="K28" s="314"/>
      <c r="N28" s="314"/>
      <c r="O28" s="314"/>
      <c r="P28" s="314"/>
      <c r="Q28" s="314"/>
      <c r="R28" s="314"/>
      <c r="S28" s="314"/>
      <c r="T28" s="314"/>
      <c r="U28" s="314"/>
      <c r="V28" s="314"/>
    </row>
    <row r="29" spans="1:22" s="533" customFormat="1" ht="12.75">
      <c r="A29" s="531">
        <f>+A27+1</f>
        <v>7</v>
      </c>
      <c r="B29" s="1503" t="s">
        <v>12</v>
      </c>
      <c r="C29" s="1450"/>
      <c r="D29" s="1450"/>
      <c r="E29" s="1450"/>
      <c r="F29" s="1450"/>
      <c r="G29" s="1450"/>
      <c r="H29" s="539"/>
      <c r="I29" s="557"/>
      <c r="J29" s="536">
        <f>+I29-K29</f>
        <v>0</v>
      </c>
      <c r="K29" s="557"/>
      <c r="N29" s="314"/>
      <c r="O29" s="314"/>
      <c r="P29" s="314"/>
      <c r="Q29" s="314"/>
      <c r="R29" s="314"/>
      <c r="S29" s="314"/>
      <c r="T29" s="314"/>
      <c r="U29" s="314"/>
      <c r="V29" s="314"/>
    </row>
    <row r="30" spans="1:22" s="533" customFormat="1" ht="12.75">
      <c r="A30" s="531"/>
      <c r="B30" s="1450"/>
      <c r="C30" s="1450"/>
      <c r="D30" s="1450"/>
      <c r="E30" s="1450"/>
      <c r="F30" s="1450"/>
      <c r="G30" s="1450"/>
      <c r="H30" s="535"/>
      <c r="I30" s="544"/>
      <c r="J30" s="535"/>
      <c r="K30" s="546"/>
      <c r="N30" s="314"/>
      <c r="O30" s="314"/>
      <c r="P30" s="314"/>
      <c r="Q30" s="314"/>
      <c r="R30" s="314"/>
      <c r="S30" s="314"/>
      <c r="T30" s="314"/>
      <c r="U30" s="314"/>
      <c r="V30" s="314"/>
    </row>
    <row r="31" spans="1:22" s="533" customFormat="1" ht="12.75">
      <c r="A31" s="531">
        <f>+A29+1</f>
        <v>8</v>
      </c>
      <c r="B31" s="547" t="s">
        <v>499</v>
      </c>
      <c r="D31" s="534"/>
      <c r="E31" s="534"/>
      <c r="F31" s="535"/>
      <c r="G31" s="541"/>
      <c r="H31" s="535"/>
      <c r="I31" s="548">
        <f>+I27+I29</f>
        <v>18216991.789999995</v>
      </c>
      <c r="J31" s="548">
        <f>+J27+J29</f>
        <v>18216991.789999995</v>
      </c>
      <c r="K31" s="548">
        <f>+K27+K29</f>
        <v>0</v>
      </c>
      <c r="N31" s="314"/>
      <c r="O31" s="314"/>
      <c r="P31" s="314"/>
      <c r="Q31" s="314"/>
      <c r="R31" s="314"/>
      <c r="S31" s="314"/>
      <c r="T31" s="314"/>
      <c r="U31" s="314"/>
      <c r="V31" s="314"/>
    </row>
    <row r="32" spans="1:22" s="533" customFormat="1" ht="12.75">
      <c r="A32" s="531"/>
      <c r="B32" s="547"/>
      <c r="D32" s="534"/>
      <c r="E32" s="534"/>
      <c r="F32" s="535"/>
      <c r="G32" s="541"/>
      <c r="H32" s="535"/>
      <c r="I32" s="546"/>
      <c r="J32" s="546"/>
      <c r="K32" s="546"/>
      <c r="N32" s="314"/>
      <c r="O32" s="314"/>
      <c r="P32" s="314"/>
      <c r="Q32" s="314"/>
      <c r="R32" s="314"/>
      <c r="S32" s="314"/>
      <c r="T32" s="314"/>
      <c r="U32" s="314"/>
      <c r="V32" s="314"/>
    </row>
    <row r="33" spans="1:41" s="533" customFormat="1" ht="12.75">
      <c r="A33" s="531">
        <v>9</v>
      </c>
      <c r="B33" s="540" t="s">
        <v>549</v>
      </c>
      <c r="D33" s="534"/>
      <c r="E33" s="534"/>
      <c r="F33" s="535"/>
      <c r="G33" s="541"/>
      <c r="H33" s="535"/>
      <c r="I33" s="546"/>
      <c r="J33" s="546"/>
      <c r="K33" s="557"/>
      <c r="N33" s="314"/>
      <c r="O33" s="314"/>
      <c r="P33" s="314"/>
      <c r="Q33" s="314"/>
      <c r="R33" s="314"/>
      <c r="S33" s="314"/>
      <c r="T33" s="314"/>
      <c r="U33" s="314"/>
      <c r="V33" s="314"/>
    </row>
    <row r="34" spans="1:41" s="533" customFormat="1" ht="12.75">
      <c r="A34" s="531"/>
      <c r="B34" s="547"/>
      <c r="D34" s="534"/>
      <c r="E34" s="534"/>
      <c r="F34" s="535"/>
      <c r="G34" s="541"/>
      <c r="H34" s="535"/>
      <c r="I34" s="546"/>
      <c r="J34" s="546"/>
      <c r="K34" s="546"/>
      <c r="N34" s="314"/>
      <c r="O34" s="314"/>
      <c r="P34" s="314"/>
      <c r="Q34" s="314"/>
      <c r="R34" s="314"/>
      <c r="S34" s="314"/>
      <c r="T34" s="314"/>
      <c r="U34" s="314"/>
      <c r="V34" s="314"/>
    </row>
    <row r="35" spans="1:41" ht="15.75">
      <c r="A35" s="549"/>
      <c r="C35" s="529"/>
      <c r="D35" s="520"/>
      <c r="E35" s="520"/>
      <c r="F35" s="524"/>
      <c r="G35" s="550"/>
      <c r="H35" s="524"/>
      <c r="I35" s="551"/>
      <c r="J35" s="524"/>
      <c r="K35" s="524"/>
      <c r="L35" s="524"/>
      <c r="M35" s="552"/>
      <c r="N35" s="394"/>
      <c r="O35" s="523"/>
      <c r="P35" s="523"/>
      <c r="Q35" s="523"/>
      <c r="R35" s="523"/>
      <c r="S35" s="394"/>
      <c r="T35" s="394"/>
      <c r="U35" s="394"/>
      <c r="V35" s="394"/>
    </row>
    <row r="36" spans="1:41" s="533" customFormat="1" ht="12.75" customHeight="1">
      <c r="A36" s="209" t="s">
        <v>287</v>
      </c>
      <c r="B36" s="150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Appalachian Transmission Company's general ledger. The functional amounts identified as transmission revenue also come from the general ledger. </v>
      </c>
      <c r="C36" s="1502"/>
      <c r="D36" s="1502"/>
      <c r="E36" s="1502"/>
      <c r="F36" s="1502"/>
      <c r="G36" s="1502"/>
      <c r="H36" s="1502"/>
      <c r="I36" s="1502"/>
      <c r="J36" s="1502"/>
      <c r="K36" s="314"/>
      <c r="L36" s="314"/>
      <c r="M36" s="314"/>
      <c r="N36" s="314"/>
      <c r="O36" s="314"/>
      <c r="P36" s="314"/>
      <c r="Q36" s="314"/>
      <c r="R36" s="314"/>
      <c r="S36" s="314"/>
      <c r="T36" s="537"/>
      <c r="U36" s="314"/>
      <c r="V36" s="314"/>
    </row>
    <row r="37" spans="1:41" s="533" customFormat="1" ht="12.75">
      <c r="A37" s="314"/>
      <c r="B37" s="1502"/>
      <c r="C37" s="1502"/>
      <c r="D37" s="1502"/>
      <c r="E37" s="1502"/>
      <c r="F37" s="1502"/>
      <c r="G37" s="1502"/>
      <c r="H37" s="1502"/>
      <c r="I37" s="1502"/>
      <c r="J37" s="1502"/>
      <c r="K37" s="314"/>
      <c r="L37" s="348"/>
      <c r="M37" s="553"/>
      <c r="N37" s="553"/>
      <c r="O37" s="553"/>
      <c r="P37" s="553"/>
      <c r="Q37" s="553"/>
      <c r="R37" s="348"/>
      <c r="S37" s="348"/>
      <c r="T37" s="348"/>
      <c r="U37" s="348"/>
      <c r="V37" s="348"/>
      <c r="W37" s="554"/>
      <c r="X37" s="554"/>
      <c r="Y37" s="554"/>
      <c r="Z37" s="554"/>
      <c r="AA37" s="554"/>
      <c r="AB37" s="554"/>
      <c r="AC37" s="554"/>
      <c r="AD37" s="554"/>
      <c r="AE37" s="554"/>
      <c r="AF37" s="554"/>
      <c r="AG37" s="554"/>
      <c r="AH37" s="554"/>
      <c r="AI37" s="554"/>
      <c r="AJ37" s="554"/>
      <c r="AK37" s="554"/>
      <c r="AL37" s="554"/>
      <c r="AM37" s="554"/>
      <c r="AN37" s="554"/>
      <c r="AO37" s="554"/>
    </row>
    <row r="38" spans="1:41" s="533" customFormat="1" ht="12.75">
      <c r="A38" s="348" t="s">
        <v>628</v>
      </c>
      <c r="B38" s="1246" t="s">
        <v>629</v>
      </c>
      <c r="C38" s="1072"/>
      <c r="D38" s="1072"/>
      <c r="E38" s="1072"/>
      <c r="F38" s="1072"/>
      <c r="G38" s="1072"/>
      <c r="H38" s="1072"/>
      <c r="I38" s="1072"/>
      <c r="J38" s="999"/>
      <c r="K38" s="553"/>
      <c r="L38" s="348"/>
      <c r="M38" s="553"/>
      <c r="N38" s="553"/>
      <c r="O38" s="553"/>
      <c r="P38" s="553"/>
      <c r="Q38" s="553"/>
      <c r="R38" s="348"/>
      <c r="S38" s="348"/>
      <c r="T38" s="348"/>
      <c r="U38" s="348"/>
      <c r="V38" s="348"/>
      <c r="W38" s="554"/>
      <c r="X38" s="554"/>
      <c r="Y38" s="554"/>
      <c r="Z38" s="554"/>
      <c r="AA38" s="554"/>
      <c r="AB38" s="554"/>
      <c r="AC38" s="554"/>
      <c r="AD38" s="554"/>
      <c r="AE38" s="554"/>
      <c r="AF38" s="554"/>
      <c r="AG38" s="554"/>
      <c r="AH38" s="554"/>
      <c r="AI38" s="554"/>
      <c r="AJ38" s="554"/>
      <c r="AK38" s="554"/>
      <c r="AL38" s="554"/>
      <c r="AM38" s="554"/>
      <c r="AN38" s="554"/>
      <c r="AO38" s="554"/>
    </row>
    <row r="39" spans="1:41" ht="15.75">
      <c r="A39" s="394"/>
      <c r="B39" s="393"/>
      <c r="E39" s="555"/>
      <c r="F39" s="555"/>
      <c r="G39" s="555"/>
      <c r="H39" s="555"/>
      <c r="I39" s="555"/>
      <c r="J39" s="555"/>
      <c r="K39" s="555"/>
      <c r="L39" s="393"/>
      <c r="M39" s="555"/>
      <c r="N39" s="555"/>
      <c r="O39" s="555"/>
      <c r="P39" s="555"/>
      <c r="Q39" s="555"/>
      <c r="R39" s="393"/>
      <c r="S39" s="393"/>
      <c r="T39" s="393"/>
      <c r="U39" s="393"/>
      <c r="V39" s="393"/>
      <c r="W39" s="556"/>
      <c r="X39" s="556"/>
      <c r="Y39" s="556"/>
      <c r="Z39" s="556"/>
      <c r="AA39" s="556"/>
      <c r="AB39" s="556"/>
      <c r="AC39" s="556"/>
      <c r="AD39" s="556"/>
      <c r="AE39" s="556"/>
      <c r="AF39" s="556"/>
      <c r="AG39" s="556"/>
      <c r="AH39" s="556"/>
      <c r="AI39" s="556"/>
      <c r="AJ39" s="556"/>
      <c r="AK39" s="556"/>
      <c r="AL39" s="556"/>
      <c r="AM39" s="556"/>
      <c r="AN39" s="556"/>
      <c r="AO39" s="556"/>
    </row>
    <row r="40" spans="1:41" ht="15.75">
      <c r="A40" s="394"/>
      <c r="B40" s="393"/>
      <c r="E40" s="555"/>
      <c r="F40" s="555"/>
      <c r="G40" s="555"/>
      <c r="H40" s="555"/>
      <c r="I40" s="555"/>
      <c r="J40" s="555"/>
      <c r="K40" s="555"/>
      <c r="L40" s="393"/>
      <c r="M40" s="555"/>
      <c r="N40" s="555"/>
      <c r="O40" s="555"/>
      <c r="P40" s="555"/>
      <c r="Q40" s="555"/>
      <c r="R40" s="393"/>
      <c r="S40" s="393"/>
      <c r="T40" s="393"/>
      <c r="U40" s="393"/>
      <c r="V40" s="393"/>
      <c r="W40" s="556"/>
      <c r="X40" s="556"/>
      <c r="Y40" s="556"/>
      <c r="Z40" s="556"/>
      <c r="AA40" s="556"/>
      <c r="AB40" s="556"/>
      <c r="AC40" s="556"/>
      <c r="AD40" s="556"/>
      <c r="AE40" s="556"/>
      <c r="AF40" s="556"/>
      <c r="AG40" s="556"/>
      <c r="AH40" s="556"/>
      <c r="AI40" s="556"/>
      <c r="AJ40" s="556"/>
      <c r="AK40" s="556"/>
      <c r="AL40" s="556"/>
      <c r="AM40" s="556"/>
      <c r="AN40" s="556"/>
      <c r="AO40" s="556"/>
    </row>
    <row r="41" spans="1:41" ht="15.75">
      <c r="A41" s="394"/>
      <c r="B41" s="393"/>
      <c r="E41" s="555"/>
      <c r="F41" s="555"/>
      <c r="G41" s="555"/>
      <c r="H41" s="555"/>
      <c r="I41" s="555"/>
      <c r="J41" s="555"/>
      <c r="K41" s="555"/>
      <c r="L41" s="393"/>
      <c r="M41" s="555"/>
      <c r="N41" s="555"/>
      <c r="O41" s="555"/>
      <c r="P41" s="555"/>
      <c r="Q41" s="555"/>
      <c r="R41" s="393"/>
      <c r="S41" s="393"/>
      <c r="T41" s="393"/>
      <c r="U41" s="393"/>
      <c r="V41" s="393"/>
      <c r="W41" s="556"/>
      <c r="X41" s="556"/>
      <c r="Y41" s="556"/>
      <c r="Z41" s="556"/>
      <c r="AA41" s="556"/>
      <c r="AB41" s="556"/>
      <c r="AC41" s="556"/>
      <c r="AD41" s="556"/>
      <c r="AE41" s="556"/>
      <c r="AF41" s="556"/>
      <c r="AG41" s="556"/>
      <c r="AH41" s="556"/>
      <c r="AI41" s="556"/>
      <c r="AJ41" s="556"/>
      <c r="AK41" s="556"/>
      <c r="AL41" s="556"/>
      <c r="AM41" s="556"/>
      <c r="AN41" s="556"/>
      <c r="AO41" s="556"/>
    </row>
    <row r="42" spans="1:41" ht="15.75">
      <c r="A42" s="394"/>
      <c r="B42" s="393"/>
      <c r="E42" s="555"/>
      <c r="F42" s="555"/>
      <c r="G42" s="555"/>
      <c r="H42" s="555"/>
      <c r="I42" s="555"/>
      <c r="J42" s="555"/>
      <c r="K42" s="555"/>
      <c r="L42" s="393"/>
      <c r="M42" s="555"/>
      <c r="N42" s="555"/>
      <c r="O42" s="555"/>
      <c r="P42" s="555"/>
      <c r="Q42" s="555"/>
      <c r="R42" s="393"/>
      <c r="S42" s="393"/>
      <c r="T42" s="393"/>
      <c r="U42" s="393"/>
      <c r="V42" s="393"/>
      <c r="W42" s="556"/>
      <c r="X42" s="556"/>
      <c r="Y42" s="556"/>
      <c r="Z42" s="556"/>
      <c r="AA42" s="556"/>
      <c r="AB42" s="556"/>
      <c r="AC42" s="556"/>
      <c r="AD42" s="556"/>
      <c r="AE42" s="556"/>
      <c r="AF42" s="556"/>
      <c r="AG42" s="556"/>
      <c r="AH42" s="556"/>
      <c r="AI42" s="556"/>
      <c r="AJ42" s="556"/>
      <c r="AK42" s="556"/>
      <c r="AL42" s="556"/>
      <c r="AM42" s="556"/>
      <c r="AN42" s="556"/>
      <c r="AO42" s="556"/>
    </row>
    <row r="43" spans="1:41" ht="15.75">
      <c r="A43" s="394"/>
      <c r="B43" s="393"/>
      <c r="E43" s="555"/>
      <c r="F43" s="555"/>
      <c r="G43" s="555"/>
      <c r="H43" s="555"/>
      <c r="I43" s="555"/>
      <c r="J43" s="555"/>
      <c r="K43" s="555"/>
      <c r="L43" s="393"/>
      <c r="M43" s="555"/>
      <c r="N43" s="555"/>
      <c r="O43" s="555"/>
      <c r="P43" s="555"/>
      <c r="Q43" s="555"/>
      <c r="R43" s="393"/>
      <c r="S43" s="393"/>
      <c r="T43" s="393"/>
      <c r="U43" s="393"/>
      <c r="V43" s="393"/>
      <c r="W43" s="556"/>
      <c r="X43" s="556"/>
      <c r="Y43" s="556"/>
      <c r="Z43" s="556"/>
      <c r="AA43" s="556"/>
      <c r="AB43" s="556"/>
      <c r="AC43" s="556"/>
      <c r="AD43" s="556"/>
      <c r="AE43" s="556"/>
      <c r="AF43" s="556"/>
      <c r="AG43" s="556"/>
      <c r="AH43" s="556"/>
      <c r="AI43" s="556"/>
      <c r="AJ43" s="556"/>
      <c r="AK43" s="556"/>
      <c r="AL43" s="556"/>
      <c r="AM43" s="556"/>
      <c r="AN43" s="556"/>
      <c r="AO43" s="556"/>
    </row>
    <row r="44" spans="1:41" ht="15.75">
      <c r="A44" s="394"/>
      <c r="B44" s="393"/>
      <c r="E44" s="555"/>
      <c r="F44" s="555"/>
      <c r="G44" s="555"/>
      <c r="H44" s="555"/>
      <c r="I44" s="555"/>
      <c r="J44" s="555"/>
      <c r="K44" s="555"/>
      <c r="L44" s="393"/>
      <c r="M44" s="555"/>
      <c r="N44" s="555"/>
      <c r="O44" s="555"/>
      <c r="P44" s="555"/>
      <c r="Q44" s="555"/>
      <c r="R44" s="393"/>
      <c r="S44" s="393"/>
      <c r="T44" s="393"/>
      <c r="U44" s="393"/>
      <c r="V44" s="393"/>
      <c r="W44" s="556"/>
      <c r="X44" s="556"/>
      <c r="Y44" s="556"/>
      <c r="Z44" s="556"/>
      <c r="AA44" s="556"/>
      <c r="AB44" s="556"/>
      <c r="AC44" s="556"/>
      <c r="AD44" s="556"/>
      <c r="AE44" s="556"/>
      <c r="AF44" s="556"/>
      <c r="AG44" s="556"/>
      <c r="AH44" s="556"/>
      <c r="AI44" s="556"/>
      <c r="AJ44" s="556"/>
      <c r="AK44" s="556"/>
      <c r="AL44" s="556"/>
      <c r="AM44" s="556"/>
      <c r="AN44" s="556"/>
      <c r="AO44" s="556"/>
    </row>
    <row r="45" spans="1:41" ht="15.75">
      <c r="A45" s="394"/>
      <c r="B45" s="393"/>
      <c r="E45" s="555"/>
      <c r="F45" s="555"/>
      <c r="G45" s="555"/>
      <c r="H45" s="555"/>
      <c r="I45" s="555"/>
      <c r="J45" s="555"/>
      <c r="K45" s="555"/>
      <c r="L45" s="393"/>
      <c r="M45" s="555"/>
      <c r="N45" s="555"/>
      <c r="O45" s="555"/>
      <c r="P45" s="555"/>
      <c r="Q45" s="555"/>
      <c r="R45" s="393"/>
      <c r="S45" s="393"/>
      <c r="T45" s="393"/>
      <c r="U45" s="393"/>
      <c r="V45" s="393"/>
      <c r="W45" s="556"/>
      <c r="X45" s="556"/>
      <c r="Y45" s="556"/>
      <c r="Z45" s="556"/>
      <c r="AA45" s="556"/>
      <c r="AB45" s="556"/>
      <c r="AC45" s="556"/>
      <c r="AD45" s="556"/>
      <c r="AE45" s="556"/>
      <c r="AF45" s="556"/>
      <c r="AG45" s="556"/>
      <c r="AH45" s="556"/>
      <c r="AI45" s="556"/>
      <c r="AJ45" s="556"/>
      <c r="AK45" s="556"/>
      <c r="AL45" s="556"/>
      <c r="AM45" s="556"/>
      <c r="AN45" s="556"/>
      <c r="AO45" s="556"/>
    </row>
    <row r="46" spans="1:41" ht="15.75">
      <c r="A46" s="394"/>
      <c r="B46" s="393"/>
      <c r="E46" s="555"/>
      <c r="F46" s="555"/>
      <c r="G46" s="555"/>
      <c r="H46" s="555"/>
      <c r="I46" s="555"/>
      <c r="J46" s="555"/>
      <c r="K46" s="555"/>
      <c r="L46" s="393"/>
      <c r="M46" s="555"/>
      <c r="N46" s="555"/>
      <c r="O46" s="555"/>
      <c r="P46" s="555"/>
      <c r="Q46" s="555"/>
      <c r="R46" s="393"/>
      <c r="S46" s="393"/>
      <c r="T46" s="393"/>
      <c r="U46" s="393"/>
      <c r="V46" s="393"/>
      <c r="W46" s="556"/>
      <c r="X46" s="556"/>
      <c r="Y46" s="556"/>
      <c r="Z46" s="556"/>
      <c r="AA46" s="556"/>
      <c r="AB46" s="556"/>
      <c r="AC46" s="556"/>
      <c r="AD46" s="556"/>
      <c r="AE46" s="556"/>
      <c r="AF46" s="556"/>
      <c r="AG46" s="556"/>
      <c r="AH46" s="556"/>
      <c r="AI46" s="556"/>
      <c r="AJ46" s="556"/>
      <c r="AK46" s="556"/>
      <c r="AL46" s="556"/>
      <c r="AM46" s="556"/>
      <c r="AN46" s="556"/>
      <c r="AO46" s="556"/>
    </row>
    <row r="47" spans="1:41" ht="15.75">
      <c r="A47" s="394"/>
      <c r="B47" s="393"/>
      <c r="E47" s="555"/>
      <c r="F47" s="555"/>
      <c r="G47" s="555"/>
      <c r="H47" s="555"/>
      <c r="I47" s="555"/>
      <c r="J47" s="555"/>
      <c r="K47" s="555"/>
      <c r="L47" s="393"/>
      <c r="M47" s="555"/>
      <c r="N47" s="555"/>
      <c r="O47" s="555"/>
      <c r="P47" s="555"/>
      <c r="Q47" s="555"/>
      <c r="R47" s="393"/>
      <c r="S47" s="393"/>
      <c r="T47" s="393"/>
      <c r="U47" s="393"/>
      <c r="V47" s="393"/>
      <c r="W47" s="556"/>
      <c r="X47" s="556"/>
      <c r="Y47" s="556"/>
      <c r="Z47" s="556"/>
      <c r="AA47" s="556"/>
      <c r="AB47" s="556"/>
      <c r="AC47" s="556"/>
      <c r="AD47" s="556"/>
      <c r="AE47" s="556"/>
      <c r="AF47" s="556"/>
      <c r="AG47" s="556"/>
      <c r="AH47" s="556"/>
      <c r="AI47" s="556"/>
      <c r="AJ47" s="556"/>
      <c r="AK47" s="556"/>
      <c r="AL47" s="556"/>
      <c r="AM47" s="556"/>
      <c r="AN47" s="556"/>
      <c r="AO47" s="556"/>
    </row>
    <row r="48" spans="1:41" ht="15.75">
      <c r="A48" s="394"/>
      <c r="B48" s="393"/>
      <c r="E48" s="555"/>
      <c r="F48" s="555"/>
      <c r="G48" s="555"/>
      <c r="H48" s="555"/>
      <c r="I48" s="555"/>
      <c r="J48" s="555"/>
      <c r="K48" s="555"/>
      <c r="L48" s="393"/>
      <c r="M48" s="555"/>
      <c r="N48" s="555"/>
      <c r="O48" s="555"/>
      <c r="P48" s="555"/>
      <c r="Q48" s="555"/>
      <c r="R48" s="393"/>
      <c r="S48" s="393"/>
      <c r="T48" s="393"/>
      <c r="U48" s="393"/>
      <c r="V48" s="393"/>
      <c r="W48" s="556"/>
      <c r="X48" s="556"/>
      <c r="Y48" s="556"/>
      <c r="Z48" s="556"/>
      <c r="AA48" s="556"/>
      <c r="AB48" s="556"/>
      <c r="AC48" s="556"/>
      <c r="AD48" s="556"/>
      <c r="AE48" s="556"/>
      <c r="AF48" s="556"/>
      <c r="AG48" s="556"/>
      <c r="AH48" s="556"/>
      <c r="AI48" s="556"/>
      <c r="AJ48" s="556"/>
      <c r="AK48" s="556"/>
      <c r="AL48" s="556"/>
      <c r="AM48" s="556"/>
      <c r="AN48" s="556"/>
      <c r="AO48" s="556"/>
    </row>
    <row r="49" spans="1:41" ht="15.75">
      <c r="I49" s="555"/>
      <c r="J49" s="555"/>
      <c r="K49" s="555"/>
      <c r="L49" s="393"/>
      <c r="M49" s="555"/>
      <c r="N49" s="555"/>
      <c r="O49" s="555"/>
      <c r="P49" s="555"/>
      <c r="Q49" s="555"/>
      <c r="R49" s="393"/>
      <c r="S49" s="393"/>
      <c r="T49" s="393"/>
      <c r="U49" s="393"/>
      <c r="V49" s="393"/>
      <c r="W49" s="556"/>
      <c r="X49" s="556"/>
      <c r="Y49" s="556"/>
      <c r="Z49" s="556"/>
      <c r="AA49" s="556"/>
      <c r="AB49" s="556"/>
      <c r="AC49" s="556"/>
      <c r="AD49" s="556"/>
      <c r="AE49" s="556"/>
      <c r="AF49" s="556"/>
      <c r="AG49" s="556"/>
      <c r="AH49" s="556"/>
      <c r="AI49" s="556"/>
      <c r="AJ49" s="556"/>
      <c r="AK49" s="556"/>
      <c r="AL49" s="556"/>
      <c r="AM49" s="556"/>
      <c r="AN49" s="556"/>
      <c r="AO49" s="556"/>
    </row>
    <row r="50" spans="1:41" ht="15.75">
      <c r="A50" s="394"/>
      <c r="B50" s="393"/>
      <c r="E50" s="555"/>
      <c r="F50" s="555"/>
      <c r="G50" s="555"/>
      <c r="H50" s="555"/>
      <c r="I50" s="555"/>
      <c r="J50" s="555"/>
      <c r="K50" s="555"/>
      <c r="L50" s="393"/>
      <c r="M50" s="555"/>
      <c r="N50" s="555"/>
      <c r="O50" s="555"/>
      <c r="P50" s="555"/>
      <c r="Q50" s="555"/>
      <c r="R50" s="393"/>
      <c r="S50" s="393"/>
      <c r="T50" s="393"/>
      <c r="U50" s="393"/>
      <c r="V50" s="393"/>
      <c r="W50" s="556"/>
      <c r="X50" s="556"/>
      <c r="Y50" s="556"/>
      <c r="Z50" s="556"/>
      <c r="AA50" s="556"/>
      <c r="AB50" s="556"/>
      <c r="AC50" s="556"/>
      <c r="AD50" s="556"/>
      <c r="AE50" s="556"/>
      <c r="AF50" s="556"/>
      <c r="AG50" s="556"/>
      <c r="AH50" s="556"/>
      <c r="AI50" s="556"/>
      <c r="AJ50" s="556"/>
      <c r="AK50" s="556"/>
      <c r="AL50" s="556"/>
      <c r="AM50" s="556"/>
      <c r="AN50" s="556"/>
      <c r="AO50" s="556"/>
    </row>
    <row r="51" spans="1:41" ht="15.75">
      <c r="A51" s="394"/>
      <c r="B51" s="393"/>
      <c r="E51" s="555"/>
      <c r="F51" s="555"/>
      <c r="G51" s="555"/>
      <c r="H51" s="555"/>
      <c r="I51" s="555"/>
      <c r="J51" s="555"/>
      <c r="K51" s="555"/>
      <c r="L51" s="393"/>
      <c r="M51" s="555"/>
      <c r="N51" s="555"/>
      <c r="O51" s="555"/>
      <c r="P51" s="555"/>
      <c r="Q51" s="555"/>
      <c r="R51" s="393"/>
      <c r="S51" s="393"/>
      <c r="T51" s="393"/>
      <c r="U51" s="393"/>
      <c r="V51" s="393"/>
      <c r="W51" s="556"/>
      <c r="X51" s="556"/>
      <c r="Y51" s="556"/>
      <c r="Z51" s="556"/>
      <c r="AA51" s="556"/>
      <c r="AB51" s="556"/>
      <c r="AC51" s="556"/>
      <c r="AD51" s="556"/>
      <c r="AE51" s="556"/>
      <c r="AF51" s="556"/>
      <c r="AG51" s="556"/>
      <c r="AH51" s="556"/>
      <c r="AI51" s="556"/>
      <c r="AJ51" s="556"/>
      <c r="AK51" s="556"/>
      <c r="AL51" s="556"/>
      <c r="AM51" s="556"/>
      <c r="AN51" s="556"/>
      <c r="AO51" s="556"/>
    </row>
    <row r="52" spans="1:41" ht="15.75">
      <c r="A52" s="394"/>
      <c r="B52" s="393"/>
      <c r="E52" s="555"/>
      <c r="F52" s="555"/>
      <c r="G52" s="555"/>
      <c r="H52" s="555"/>
      <c r="I52" s="555"/>
      <c r="J52" s="555"/>
      <c r="K52" s="555"/>
      <c r="L52" s="393"/>
      <c r="M52" s="555"/>
      <c r="N52" s="555"/>
      <c r="O52" s="555"/>
      <c r="P52" s="555"/>
      <c r="Q52" s="555"/>
      <c r="R52" s="393"/>
      <c r="S52" s="393"/>
      <c r="T52" s="393"/>
      <c r="U52" s="393"/>
      <c r="V52" s="393"/>
      <c r="W52" s="556"/>
      <c r="X52" s="556"/>
      <c r="Y52" s="556"/>
      <c r="Z52" s="556"/>
      <c r="AA52" s="556"/>
      <c r="AB52" s="556"/>
      <c r="AC52" s="556"/>
      <c r="AD52" s="556"/>
      <c r="AE52" s="556"/>
      <c r="AF52" s="556"/>
      <c r="AG52" s="556"/>
      <c r="AH52" s="556"/>
      <c r="AI52" s="556"/>
      <c r="AJ52" s="556"/>
      <c r="AK52" s="556"/>
      <c r="AL52" s="556"/>
      <c r="AM52" s="556"/>
      <c r="AN52" s="556"/>
      <c r="AO52" s="556"/>
    </row>
    <row r="53" spans="1:41" ht="15.75">
      <c r="A53" s="394"/>
      <c r="B53" s="393"/>
      <c r="E53" s="555"/>
      <c r="F53" s="555"/>
      <c r="G53" s="555"/>
      <c r="H53" s="555"/>
      <c r="I53" s="555"/>
      <c r="J53" s="555"/>
      <c r="K53" s="555"/>
      <c r="L53" s="393"/>
      <c r="M53" s="555"/>
      <c r="N53" s="555"/>
      <c r="O53" s="555"/>
      <c r="P53" s="555"/>
      <c r="Q53" s="555"/>
      <c r="R53" s="393"/>
      <c r="S53" s="393"/>
      <c r="T53" s="393"/>
      <c r="U53" s="393"/>
      <c r="V53" s="393"/>
      <c r="W53" s="556"/>
      <c r="X53" s="556"/>
      <c r="Y53" s="556"/>
      <c r="Z53" s="556"/>
      <c r="AA53" s="556"/>
      <c r="AB53" s="556"/>
      <c r="AC53" s="556"/>
      <c r="AD53" s="556"/>
      <c r="AE53" s="556"/>
      <c r="AF53" s="556"/>
      <c r="AG53" s="556"/>
      <c r="AH53" s="556"/>
      <c r="AI53" s="556"/>
      <c r="AJ53" s="556"/>
      <c r="AK53" s="556"/>
      <c r="AL53" s="556"/>
      <c r="AM53" s="556"/>
      <c r="AN53" s="556"/>
      <c r="AO53" s="556"/>
    </row>
    <row r="54" spans="1:41" ht="15.75">
      <c r="A54" s="394"/>
      <c r="B54" s="393"/>
      <c r="E54" s="555"/>
      <c r="F54" s="555"/>
      <c r="G54" s="555"/>
      <c r="H54" s="555"/>
      <c r="I54" s="555"/>
      <c r="J54" s="555"/>
      <c r="K54" s="555"/>
      <c r="L54" s="393"/>
      <c r="M54" s="555"/>
      <c r="N54" s="555"/>
      <c r="O54" s="555"/>
      <c r="P54" s="555"/>
      <c r="Q54" s="555"/>
      <c r="R54" s="393"/>
      <c r="S54" s="393"/>
      <c r="T54" s="393"/>
      <c r="U54" s="393"/>
      <c r="V54" s="393"/>
      <c r="W54" s="556"/>
      <c r="X54" s="556"/>
      <c r="Y54" s="556"/>
      <c r="Z54" s="556"/>
      <c r="AA54" s="556"/>
      <c r="AB54" s="556"/>
      <c r="AC54" s="556"/>
      <c r="AD54" s="556"/>
      <c r="AE54" s="556"/>
      <c r="AF54" s="556"/>
      <c r="AG54" s="556"/>
      <c r="AH54" s="556"/>
      <c r="AI54" s="556"/>
      <c r="AJ54" s="556"/>
      <c r="AK54" s="556"/>
      <c r="AL54" s="556"/>
      <c r="AM54" s="556"/>
      <c r="AN54" s="556"/>
      <c r="AO54" s="556"/>
    </row>
    <row r="55" spans="1:41" ht="15.75">
      <c r="A55" s="394"/>
      <c r="B55" s="393"/>
      <c r="E55" s="555"/>
      <c r="F55" s="555"/>
      <c r="G55" s="555"/>
      <c r="H55" s="555"/>
      <c r="I55" s="555"/>
      <c r="J55" s="555"/>
      <c r="K55" s="555"/>
      <c r="L55" s="393"/>
      <c r="M55" s="555"/>
      <c r="N55" s="555"/>
      <c r="O55" s="555"/>
      <c r="P55" s="555"/>
      <c r="Q55" s="555"/>
      <c r="R55" s="393"/>
      <c r="S55" s="393"/>
      <c r="T55" s="393"/>
      <c r="U55" s="393"/>
      <c r="V55" s="393"/>
      <c r="W55" s="556"/>
      <c r="X55" s="556"/>
      <c r="Y55" s="556"/>
      <c r="Z55" s="556"/>
      <c r="AA55" s="556"/>
      <c r="AB55" s="556"/>
      <c r="AC55" s="556"/>
      <c r="AD55" s="556"/>
      <c r="AE55" s="556"/>
      <c r="AF55" s="556"/>
      <c r="AG55" s="556"/>
      <c r="AH55" s="556"/>
      <c r="AI55" s="556"/>
      <c r="AJ55" s="556"/>
      <c r="AK55" s="556"/>
      <c r="AL55" s="556"/>
      <c r="AM55" s="556"/>
      <c r="AN55" s="556"/>
      <c r="AO55" s="556"/>
    </row>
    <row r="56" spans="1:41" ht="15.75">
      <c r="A56" s="394"/>
      <c r="B56" s="393"/>
      <c r="E56" s="555"/>
      <c r="F56" s="555"/>
      <c r="G56" s="555"/>
      <c r="H56" s="555"/>
      <c r="I56" s="555"/>
      <c r="J56" s="555"/>
      <c r="K56" s="555"/>
      <c r="L56" s="393"/>
      <c r="M56" s="555"/>
      <c r="N56" s="555"/>
      <c r="O56" s="555"/>
      <c r="P56" s="555"/>
      <c r="Q56" s="555"/>
      <c r="R56" s="393"/>
      <c r="S56" s="393"/>
      <c r="T56" s="393"/>
      <c r="U56" s="393"/>
      <c r="V56" s="393"/>
      <c r="W56" s="556"/>
      <c r="X56" s="556"/>
      <c r="Y56" s="556"/>
      <c r="Z56" s="556"/>
      <c r="AA56" s="556"/>
      <c r="AB56" s="556"/>
      <c r="AC56" s="556"/>
      <c r="AD56" s="556"/>
      <c r="AE56" s="556"/>
      <c r="AF56" s="556"/>
      <c r="AG56" s="556"/>
      <c r="AH56" s="556"/>
      <c r="AI56" s="556"/>
      <c r="AJ56" s="556"/>
      <c r="AK56" s="556"/>
      <c r="AL56" s="556"/>
      <c r="AM56" s="556"/>
      <c r="AN56" s="556"/>
      <c r="AO56" s="556"/>
    </row>
    <row r="57" spans="1:41" ht="15.75">
      <c r="A57" s="394"/>
      <c r="B57" s="393"/>
      <c r="E57" s="555"/>
      <c r="F57" s="555"/>
      <c r="G57" s="555"/>
      <c r="H57" s="555"/>
      <c r="I57" s="555"/>
      <c r="J57" s="555"/>
      <c r="K57" s="555"/>
      <c r="L57" s="393"/>
      <c r="M57" s="555"/>
      <c r="N57" s="555"/>
      <c r="O57" s="555"/>
      <c r="P57" s="555"/>
      <c r="Q57" s="555"/>
      <c r="R57" s="393"/>
      <c r="S57" s="393"/>
      <c r="T57" s="393"/>
      <c r="U57" s="393"/>
      <c r="V57" s="393"/>
      <c r="W57" s="556"/>
      <c r="X57" s="556"/>
      <c r="Y57" s="556"/>
      <c r="Z57" s="556"/>
      <c r="AA57" s="556"/>
      <c r="AB57" s="556"/>
      <c r="AC57" s="556"/>
      <c r="AD57" s="556"/>
      <c r="AE57" s="556"/>
      <c r="AF57" s="556"/>
      <c r="AG57" s="556"/>
      <c r="AH57" s="556"/>
      <c r="AI57" s="556"/>
      <c r="AJ57" s="556"/>
      <c r="AK57" s="556"/>
      <c r="AL57" s="556"/>
      <c r="AM57" s="556"/>
      <c r="AN57" s="556"/>
      <c r="AO57" s="556"/>
    </row>
    <row r="58" spans="1:41" ht="15.75">
      <c r="A58" s="394"/>
      <c r="B58" s="393"/>
      <c r="E58" s="555"/>
      <c r="F58" s="555"/>
      <c r="G58" s="555"/>
      <c r="H58" s="555"/>
      <c r="I58" s="555"/>
      <c r="J58" s="555"/>
      <c r="K58" s="555"/>
      <c r="L58" s="393"/>
      <c r="M58" s="555"/>
      <c r="N58" s="555"/>
      <c r="O58" s="555"/>
      <c r="P58" s="555"/>
      <c r="Q58" s="555"/>
      <c r="R58" s="393"/>
      <c r="S58" s="393"/>
      <c r="T58" s="393"/>
      <c r="U58" s="393"/>
      <c r="V58" s="393"/>
      <c r="W58" s="556"/>
      <c r="X58" s="556"/>
      <c r="Y58" s="556"/>
      <c r="Z58" s="556"/>
      <c r="AA58" s="556"/>
      <c r="AB58" s="556"/>
      <c r="AC58" s="556"/>
      <c r="AD58" s="556"/>
      <c r="AE58" s="556"/>
      <c r="AF58" s="556"/>
      <c r="AG58" s="556"/>
      <c r="AH58" s="556"/>
      <c r="AI58" s="556"/>
      <c r="AJ58" s="556"/>
      <c r="AK58" s="556"/>
      <c r="AL58" s="556"/>
      <c r="AM58" s="556"/>
      <c r="AN58" s="556"/>
      <c r="AO58" s="556"/>
    </row>
    <row r="59" spans="1:41" ht="15.75">
      <c r="A59" s="394"/>
      <c r="B59" s="393"/>
      <c r="E59" s="555"/>
      <c r="F59" s="555"/>
      <c r="G59" s="555"/>
      <c r="H59" s="555"/>
      <c r="I59" s="555"/>
      <c r="J59" s="555"/>
      <c r="K59" s="555"/>
      <c r="L59" s="393"/>
      <c r="M59" s="555"/>
      <c r="N59" s="555"/>
      <c r="O59" s="555"/>
      <c r="P59" s="555"/>
      <c r="Q59" s="555"/>
      <c r="R59" s="393"/>
      <c r="S59" s="393"/>
      <c r="T59" s="393"/>
      <c r="U59" s="393"/>
      <c r="V59" s="393"/>
      <c r="W59" s="556"/>
      <c r="X59" s="556"/>
      <c r="Y59" s="556"/>
      <c r="Z59" s="556"/>
      <c r="AA59" s="556"/>
      <c r="AB59" s="556"/>
      <c r="AC59" s="556"/>
      <c r="AD59" s="556"/>
      <c r="AE59" s="556"/>
      <c r="AF59" s="556"/>
      <c r="AG59" s="556"/>
      <c r="AH59" s="556"/>
      <c r="AI59" s="556"/>
      <c r="AJ59" s="556"/>
      <c r="AK59" s="556"/>
      <c r="AL59" s="556"/>
      <c r="AM59" s="556"/>
      <c r="AN59" s="556"/>
      <c r="AO59" s="556"/>
    </row>
    <row r="60" spans="1:41" ht="15.75">
      <c r="A60" s="394"/>
      <c r="B60" s="393"/>
      <c r="E60" s="555"/>
      <c r="F60" s="555"/>
      <c r="G60" s="555"/>
      <c r="H60" s="555"/>
      <c r="I60" s="555"/>
      <c r="J60" s="555"/>
      <c r="K60" s="555"/>
      <c r="L60" s="393"/>
      <c r="M60" s="555"/>
      <c r="N60" s="555"/>
      <c r="O60" s="555"/>
      <c r="P60" s="555"/>
      <c r="Q60" s="555"/>
      <c r="R60" s="393"/>
      <c r="S60" s="393"/>
      <c r="T60" s="393"/>
      <c r="U60" s="393"/>
      <c r="V60" s="393"/>
      <c r="W60" s="556"/>
      <c r="X60" s="556"/>
      <c r="Y60" s="556"/>
      <c r="Z60" s="556"/>
      <c r="AA60" s="556"/>
      <c r="AB60" s="556"/>
      <c r="AC60" s="556"/>
      <c r="AD60" s="556"/>
      <c r="AE60" s="556"/>
      <c r="AF60" s="556"/>
      <c r="AG60" s="556"/>
      <c r="AH60" s="556"/>
      <c r="AI60" s="556"/>
      <c r="AJ60" s="556"/>
      <c r="AK60" s="556"/>
      <c r="AL60" s="556"/>
      <c r="AM60" s="556"/>
      <c r="AN60" s="556"/>
      <c r="AO60" s="556"/>
    </row>
    <row r="61" spans="1:41" ht="15.75">
      <c r="A61" s="394"/>
      <c r="B61" s="393"/>
      <c r="E61" s="555"/>
      <c r="F61" s="555"/>
      <c r="G61" s="555"/>
      <c r="H61" s="555"/>
      <c r="I61" s="555"/>
      <c r="J61" s="555"/>
      <c r="K61" s="555"/>
      <c r="L61" s="393"/>
      <c r="M61" s="555"/>
      <c r="N61" s="555"/>
      <c r="O61" s="555"/>
      <c r="P61" s="555"/>
      <c r="Q61" s="555"/>
      <c r="R61" s="393"/>
      <c r="S61" s="393"/>
      <c r="T61" s="393"/>
      <c r="U61" s="393"/>
      <c r="V61" s="393"/>
      <c r="W61" s="556"/>
      <c r="X61" s="556"/>
      <c r="Y61" s="556"/>
      <c r="Z61" s="556"/>
      <c r="AA61" s="556"/>
      <c r="AB61" s="556"/>
      <c r="AC61" s="556"/>
      <c r="AD61" s="556"/>
      <c r="AE61" s="556"/>
      <c r="AF61" s="556"/>
      <c r="AG61" s="556"/>
      <c r="AH61" s="556"/>
      <c r="AI61" s="556"/>
      <c r="AJ61" s="556"/>
      <c r="AK61" s="556"/>
      <c r="AL61" s="556"/>
      <c r="AM61" s="556"/>
      <c r="AN61" s="556"/>
      <c r="AO61" s="556"/>
    </row>
    <row r="62" spans="1:41" ht="15.75">
      <c r="A62" s="394"/>
      <c r="B62" s="393"/>
      <c r="E62" s="555"/>
      <c r="F62" s="555"/>
      <c r="G62" s="555"/>
      <c r="H62" s="555"/>
      <c r="I62" s="555"/>
      <c r="J62" s="555"/>
      <c r="K62" s="555"/>
      <c r="L62" s="393"/>
      <c r="M62" s="555"/>
      <c r="N62" s="555"/>
      <c r="O62" s="555"/>
      <c r="P62" s="555"/>
      <c r="Q62" s="555"/>
      <c r="R62" s="393"/>
      <c r="S62" s="393"/>
      <c r="T62" s="393"/>
      <c r="U62" s="393"/>
      <c r="V62" s="393"/>
      <c r="W62" s="556"/>
      <c r="X62" s="556"/>
      <c r="Y62" s="556"/>
      <c r="Z62" s="556"/>
      <c r="AA62" s="556"/>
      <c r="AB62" s="556"/>
      <c r="AC62" s="556"/>
      <c r="AD62" s="556"/>
      <c r="AE62" s="556"/>
      <c r="AF62" s="556"/>
      <c r="AG62" s="556"/>
      <c r="AH62" s="556"/>
      <c r="AI62" s="556"/>
      <c r="AJ62" s="556"/>
      <c r="AK62" s="556"/>
      <c r="AL62" s="556"/>
      <c r="AM62" s="556"/>
      <c r="AN62" s="556"/>
      <c r="AO62" s="556"/>
    </row>
    <row r="63" spans="1:41" ht="15.75">
      <c r="A63" s="394"/>
      <c r="B63" s="393"/>
      <c r="E63" s="555"/>
      <c r="F63" s="555"/>
      <c r="G63" s="555"/>
      <c r="H63" s="555"/>
      <c r="I63" s="555"/>
      <c r="J63" s="555"/>
      <c r="K63" s="555"/>
      <c r="L63" s="393"/>
      <c r="M63" s="555"/>
      <c r="N63" s="555"/>
      <c r="O63" s="555"/>
      <c r="P63" s="555"/>
      <c r="Q63" s="555"/>
      <c r="R63" s="393"/>
      <c r="S63" s="393"/>
      <c r="T63" s="393"/>
      <c r="U63" s="393"/>
      <c r="V63" s="393"/>
      <c r="W63" s="556"/>
      <c r="X63" s="556"/>
      <c r="Y63" s="556"/>
      <c r="Z63" s="556"/>
      <c r="AA63" s="556"/>
      <c r="AB63" s="556"/>
      <c r="AC63" s="556"/>
      <c r="AD63" s="556"/>
      <c r="AE63" s="556"/>
      <c r="AF63" s="556"/>
      <c r="AG63" s="556"/>
      <c r="AH63" s="556"/>
      <c r="AI63" s="556"/>
      <c r="AJ63" s="556"/>
      <c r="AK63" s="556"/>
      <c r="AL63" s="556"/>
      <c r="AM63" s="556"/>
      <c r="AN63" s="556"/>
      <c r="AO63" s="556"/>
    </row>
    <row r="64" spans="1:41" ht="15.75">
      <c r="A64" s="394"/>
      <c r="B64" s="393"/>
      <c r="E64" s="555"/>
      <c r="F64" s="555"/>
      <c r="G64" s="555"/>
      <c r="H64" s="555"/>
      <c r="I64" s="555"/>
      <c r="J64" s="555"/>
      <c r="K64" s="555"/>
      <c r="L64" s="393"/>
      <c r="M64" s="555"/>
      <c r="N64" s="555"/>
      <c r="O64" s="555"/>
      <c r="P64" s="555"/>
      <c r="Q64" s="555"/>
      <c r="R64" s="393"/>
      <c r="S64" s="393"/>
      <c r="T64" s="393"/>
      <c r="U64" s="393"/>
      <c r="V64" s="393"/>
      <c r="W64" s="556"/>
      <c r="X64" s="556"/>
      <c r="Y64" s="556"/>
      <c r="Z64" s="556"/>
      <c r="AA64" s="556"/>
      <c r="AB64" s="556"/>
      <c r="AC64" s="556"/>
      <c r="AD64" s="556"/>
      <c r="AE64" s="556"/>
      <c r="AF64" s="556"/>
      <c r="AG64" s="556"/>
      <c r="AH64" s="556"/>
      <c r="AI64" s="556"/>
      <c r="AJ64" s="556"/>
      <c r="AK64" s="556"/>
      <c r="AL64" s="556"/>
      <c r="AM64" s="556"/>
      <c r="AN64" s="556"/>
      <c r="AO64" s="556"/>
    </row>
    <row r="65" spans="1:41" ht="15.75">
      <c r="A65" s="394"/>
      <c r="B65" s="393"/>
      <c r="E65" s="555"/>
      <c r="F65" s="555"/>
      <c r="G65" s="555"/>
      <c r="H65" s="555"/>
      <c r="I65" s="555"/>
      <c r="J65" s="555"/>
      <c r="K65" s="555"/>
      <c r="L65" s="393"/>
      <c r="M65" s="555"/>
      <c r="N65" s="555"/>
      <c r="O65" s="555"/>
      <c r="P65" s="555"/>
      <c r="Q65" s="555"/>
      <c r="R65" s="393"/>
      <c r="S65" s="393"/>
      <c r="T65" s="393"/>
      <c r="U65" s="393"/>
      <c r="V65" s="393"/>
      <c r="W65" s="556"/>
      <c r="X65" s="556"/>
      <c r="Y65" s="556"/>
      <c r="Z65" s="556"/>
      <c r="AA65" s="556"/>
      <c r="AB65" s="556"/>
      <c r="AC65" s="556"/>
      <c r="AD65" s="556"/>
      <c r="AE65" s="556"/>
      <c r="AF65" s="556"/>
      <c r="AG65" s="556"/>
      <c r="AH65" s="556"/>
      <c r="AI65" s="556"/>
      <c r="AJ65" s="556"/>
      <c r="AK65" s="556"/>
      <c r="AL65" s="556"/>
      <c r="AM65" s="556"/>
      <c r="AN65" s="556"/>
      <c r="AO65" s="556"/>
    </row>
    <row r="66" spans="1:41" ht="15.75">
      <c r="A66" s="394"/>
      <c r="B66" s="393"/>
      <c r="E66" s="555"/>
      <c r="F66" s="555"/>
      <c r="G66" s="555"/>
      <c r="H66" s="555"/>
      <c r="I66" s="555"/>
      <c r="J66" s="555"/>
      <c r="K66" s="555"/>
      <c r="L66" s="393"/>
      <c r="M66" s="555"/>
      <c r="N66" s="555"/>
      <c r="O66" s="555"/>
      <c r="P66" s="555"/>
      <c r="Q66" s="555"/>
      <c r="R66" s="393"/>
      <c r="S66" s="393"/>
      <c r="T66" s="393"/>
      <c r="U66" s="393"/>
      <c r="V66" s="393"/>
      <c r="W66" s="556"/>
      <c r="X66" s="556"/>
      <c r="Y66" s="556"/>
      <c r="Z66" s="556"/>
      <c r="AA66" s="556"/>
      <c r="AB66" s="556"/>
      <c r="AC66" s="556"/>
      <c r="AD66" s="556"/>
      <c r="AE66" s="556"/>
      <c r="AF66" s="556"/>
      <c r="AG66" s="556"/>
      <c r="AH66" s="556"/>
      <c r="AI66" s="556"/>
      <c r="AJ66" s="556"/>
      <c r="AK66" s="556"/>
      <c r="AL66" s="556"/>
      <c r="AM66" s="556"/>
      <c r="AN66" s="556"/>
      <c r="AO66" s="556"/>
    </row>
    <row r="67" spans="1:41" ht="15.75">
      <c r="A67" s="394"/>
      <c r="B67" s="393"/>
      <c r="E67" s="555"/>
      <c r="F67" s="555"/>
      <c r="G67" s="555"/>
      <c r="H67" s="555"/>
      <c r="I67" s="555"/>
      <c r="J67" s="555"/>
      <c r="K67" s="555"/>
      <c r="L67" s="393"/>
      <c r="M67" s="555"/>
      <c r="N67" s="555"/>
      <c r="O67" s="555"/>
      <c r="P67" s="555"/>
      <c r="Q67" s="555"/>
      <c r="R67" s="393"/>
      <c r="S67" s="393"/>
      <c r="T67" s="393"/>
      <c r="U67" s="393"/>
      <c r="V67" s="393"/>
      <c r="W67" s="556"/>
      <c r="X67" s="556"/>
      <c r="Y67" s="556"/>
      <c r="Z67" s="556"/>
      <c r="AA67" s="556"/>
      <c r="AB67" s="556"/>
      <c r="AC67" s="556"/>
      <c r="AD67" s="556"/>
      <c r="AE67" s="556"/>
      <c r="AF67" s="556"/>
      <c r="AG67" s="556"/>
      <c r="AH67" s="556"/>
      <c r="AI67" s="556"/>
      <c r="AJ67" s="556"/>
      <c r="AK67" s="556"/>
      <c r="AL67" s="556"/>
      <c r="AM67" s="556"/>
      <c r="AN67" s="556"/>
      <c r="AO67" s="556"/>
    </row>
    <row r="68" spans="1:41" ht="15.75">
      <c r="A68" s="394"/>
      <c r="B68" s="393"/>
      <c r="E68" s="555"/>
      <c r="F68" s="555"/>
      <c r="G68" s="555"/>
      <c r="H68" s="555"/>
      <c r="I68" s="555"/>
      <c r="J68" s="555"/>
      <c r="K68" s="555"/>
      <c r="L68" s="393"/>
      <c r="M68" s="555"/>
      <c r="N68" s="555"/>
      <c r="O68" s="555"/>
      <c r="P68" s="555"/>
      <c r="Q68" s="555"/>
      <c r="R68" s="393"/>
      <c r="S68" s="393"/>
      <c r="T68" s="393"/>
      <c r="U68" s="393"/>
      <c r="V68" s="393"/>
      <c r="W68" s="556"/>
      <c r="X68" s="556"/>
      <c r="Y68" s="556"/>
      <c r="Z68" s="556"/>
      <c r="AA68" s="556"/>
      <c r="AB68" s="556"/>
      <c r="AC68" s="556"/>
      <c r="AD68" s="556"/>
      <c r="AE68" s="556"/>
      <c r="AF68" s="556"/>
      <c r="AG68" s="556"/>
      <c r="AH68" s="556"/>
      <c r="AI68" s="556"/>
      <c r="AJ68" s="556"/>
      <c r="AK68" s="556"/>
      <c r="AL68" s="556"/>
      <c r="AM68" s="556"/>
      <c r="AN68" s="556"/>
      <c r="AO68" s="556"/>
    </row>
    <row r="69" spans="1:41" ht="15.75">
      <c r="A69" s="394"/>
      <c r="B69" s="393"/>
      <c r="E69" s="555"/>
      <c r="F69" s="555"/>
      <c r="G69" s="555"/>
      <c r="H69" s="555"/>
      <c r="I69" s="555"/>
      <c r="J69" s="555"/>
      <c r="K69" s="555"/>
      <c r="L69" s="393"/>
      <c r="M69" s="555"/>
      <c r="N69" s="555"/>
      <c r="O69" s="555"/>
      <c r="P69" s="555"/>
      <c r="Q69" s="555"/>
      <c r="R69" s="393"/>
      <c r="S69" s="393"/>
      <c r="T69" s="393"/>
      <c r="U69" s="393"/>
      <c r="V69" s="393"/>
      <c r="W69" s="556"/>
      <c r="X69" s="556"/>
      <c r="Y69" s="556"/>
      <c r="Z69" s="556"/>
      <c r="AA69" s="556"/>
      <c r="AB69" s="556"/>
      <c r="AC69" s="556"/>
      <c r="AD69" s="556"/>
      <c r="AE69" s="556"/>
      <c r="AF69" s="556"/>
      <c r="AG69" s="556"/>
      <c r="AH69" s="556"/>
      <c r="AI69" s="556"/>
      <c r="AJ69" s="556"/>
      <c r="AK69" s="556"/>
      <c r="AL69" s="556"/>
      <c r="AM69" s="556"/>
      <c r="AN69" s="556"/>
      <c r="AO69" s="556"/>
    </row>
    <row r="70" spans="1:41" ht="15.75">
      <c r="A70" s="394"/>
      <c r="B70" s="393"/>
      <c r="E70" s="555"/>
      <c r="F70" s="555"/>
      <c r="G70" s="555"/>
      <c r="H70" s="555"/>
      <c r="I70" s="555"/>
      <c r="J70" s="555"/>
      <c r="K70" s="555"/>
      <c r="L70" s="393"/>
      <c r="M70" s="555"/>
      <c r="N70" s="555"/>
      <c r="O70" s="555"/>
      <c r="P70" s="555"/>
      <c r="Q70" s="555"/>
      <c r="R70" s="393"/>
      <c r="S70" s="393"/>
      <c r="T70" s="393"/>
      <c r="U70" s="393"/>
      <c r="V70" s="393"/>
      <c r="W70" s="556"/>
      <c r="X70" s="556"/>
      <c r="Y70" s="556"/>
      <c r="Z70" s="556"/>
      <c r="AA70" s="556"/>
      <c r="AB70" s="556"/>
      <c r="AC70" s="556"/>
      <c r="AD70" s="556"/>
      <c r="AE70" s="556"/>
      <c r="AF70" s="556"/>
      <c r="AG70" s="556"/>
      <c r="AH70" s="556"/>
      <c r="AI70" s="556"/>
      <c r="AJ70" s="556"/>
      <c r="AK70" s="556"/>
      <c r="AL70" s="556"/>
      <c r="AM70" s="556"/>
      <c r="AN70" s="556"/>
      <c r="AO70" s="556"/>
    </row>
    <row r="71" spans="1:41" ht="15.75">
      <c r="A71" s="394"/>
      <c r="B71" s="393"/>
      <c r="E71" s="555"/>
      <c r="F71" s="555"/>
      <c r="G71" s="555"/>
      <c r="H71" s="555"/>
      <c r="I71" s="555"/>
      <c r="J71" s="555"/>
      <c r="K71" s="555"/>
      <c r="L71" s="393"/>
      <c r="M71" s="555"/>
      <c r="N71" s="555"/>
      <c r="O71" s="555"/>
      <c r="P71" s="555"/>
      <c r="Q71" s="555"/>
      <c r="R71" s="393"/>
      <c r="S71" s="393"/>
      <c r="T71" s="393"/>
      <c r="U71" s="393"/>
      <c r="V71" s="393"/>
      <c r="W71" s="556"/>
      <c r="X71" s="556"/>
      <c r="Y71" s="556"/>
      <c r="Z71" s="556"/>
      <c r="AA71" s="556"/>
      <c r="AB71" s="556"/>
      <c r="AC71" s="556"/>
      <c r="AD71" s="556"/>
      <c r="AE71" s="556"/>
      <c r="AF71" s="556"/>
      <c r="AG71" s="556"/>
      <c r="AH71" s="556"/>
      <c r="AI71" s="556"/>
      <c r="AJ71" s="556"/>
      <c r="AK71" s="556"/>
      <c r="AL71" s="556"/>
      <c r="AM71" s="556"/>
      <c r="AN71" s="556"/>
      <c r="AO71" s="556"/>
    </row>
    <row r="72" spans="1:41" ht="15.75">
      <c r="A72" s="394"/>
      <c r="B72" s="393"/>
      <c r="E72" s="555"/>
      <c r="F72" s="555"/>
      <c r="G72" s="555"/>
      <c r="H72" s="555"/>
      <c r="I72" s="555"/>
      <c r="J72" s="555"/>
      <c r="K72" s="555"/>
      <c r="L72" s="393"/>
      <c r="M72" s="555"/>
      <c r="N72" s="555"/>
      <c r="O72" s="555"/>
      <c r="P72" s="555"/>
      <c r="Q72" s="555"/>
      <c r="R72" s="393"/>
      <c r="S72" s="393"/>
      <c r="T72" s="393"/>
      <c r="U72" s="393"/>
      <c r="V72" s="393"/>
      <c r="W72" s="556"/>
      <c r="X72" s="556"/>
      <c r="Y72" s="556"/>
      <c r="Z72" s="556"/>
      <c r="AA72" s="556"/>
      <c r="AB72" s="556"/>
      <c r="AC72" s="556"/>
      <c r="AD72" s="556"/>
      <c r="AE72" s="556"/>
      <c r="AF72" s="556"/>
      <c r="AG72" s="556"/>
      <c r="AH72" s="556"/>
      <c r="AI72" s="556"/>
      <c r="AJ72" s="556"/>
      <c r="AK72" s="556"/>
      <c r="AL72" s="556"/>
      <c r="AM72" s="556"/>
      <c r="AN72" s="556"/>
      <c r="AO72" s="556"/>
    </row>
    <row r="73" spans="1:41" ht="15.75">
      <c r="A73" s="394"/>
      <c r="B73" s="393"/>
      <c r="E73" s="555"/>
      <c r="F73" s="555"/>
      <c r="G73" s="555"/>
      <c r="H73" s="555"/>
      <c r="I73" s="555"/>
      <c r="J73" s="555"/>
      <c r="K73" s="555"/>
      <c r="L73" s="393"/>
      <c r="M73" s="555"/>
      <c r="N73" s="555"/>
      <c r="O73" s="555"/>
      <c r="P73" s="555"/>
      <c r="Q73" s="555"/>
      <c r="R73" s="393"/>
      <c r="S73" s="393"/>
      <c r="T73" s="393"/>
      <c r="U73" s="393"/>
      <c r="V73" s="393"/>
      <c r="W73" s="556"/>
      <c r="X73" s="556"/>
      <c r="Y73" s="556"/>
      <c r="Z73" s="556"/>
      <c r="AA73" s="556"/>
      <c r="AB73" s="556"/>
      <c r="AC73" s="556"/>
      <c r="AD73" s="556"/>
      <c r="AE73" s="556"/>
      <c r="AF73" s="556"/>
      <c r="AG73" s="556"/>
      <c r="AH73" s="556"/>
      <c r="AI73" s="556"/>
      <c r="AJ73" s="556"/>
      <c r="AK73" s="556"/>
      <c r="AL73" s="556"/>
      <c r="AM73" s="556"/>
      <c r="AN73" s="556"/>
      <c r="AO73" s="556"/>
    </row>
    <row r="74" spans="1:41" ht="15.75">
      <c r="A74" s="394"/>
      <c r="B74" s="393"/>
      <c r="E74" s="555"/>
      <c r="F74" s="555"/>
      <c r="G74" s="555"/>
      <c r="H74" s="555"/>
      <c r="I74" s="555"/>
      <c r="J74" s="555"/>
      <c r="K74" s="555"/>
      <c r="L74" s="393"/>
      <c r="M74" s="555"/>
      <c r="N74" s="555"/>
      <c r="O74" s="555"/>
      <c r="P74" s="555"/>
      <c r="Q74" s="555"/>
      <c r="R74" s="393"/>
      <c r="S74" s="393"/>
      <c r="T74" s="393"/>
      <c r="U74" s="393"/>
      <c r="V74" s="393"/>
      <c r="W74" s="556"/>
      <c r="X74" s="556"/>
      <c r="Y74" s="556"/>
      <c r="Z74" s="556"/>
      <c r="AA74" s="556"/>
      <c r="AB74" s="556"/>
      <c r="AC74" s="556"/>
      <c r="AD74" s="556"/>
      <c r="AE74" s="556"/>
      <c r="AF74" s="556"/>
      <c r="AG74" s="556"/>
      <c r="AH74" s="556"/>
      <c r="AI74" s="556"/>
      <c r="AJ74" s="556"/>
      <c r="AK74" s="556"/>
      <c r="AL74" s="556"/>
      <c r="AM74" s="556"/>
      <c r="AN74" s="556"/>
      <c r="AO74" s="556"/>
    </row>
    <row r="75" spans="1:41" ht="15.75">
      <c r="A75" s="394"/>
      <c r="B75" s="393"/>
      <c r="E75" s="555"/>
      <c r="F75" s="555"/>
      <c r="G75" s="555"/>
      <c r="H75" s="555"/>
      <c r="I75" s="555"/>
      <c r="J75" s="555"/>
      <c r="K75" s="555"/>
      <c r="L75" s="393"/>
      <c r="M75" s="555"/>
      <c r="N75" s="555"/>
      <c r="O75" s="555"/>
      <c r="P75" s="555"/>
      <c r="Q75" s="555"/>
      <c r="R75" s="393"/>
      <c r="S75" s="393"/>
      <c r="T75" s="393"/>
      <c r="U75" s="393"/>
      <c r="V75" s="393"/>
      <c r="W75" s="556"/>
      <c r="X75" s="556"/>
      <c r="Y75" s="556"/>
      <c r="Z75" s="556"/>
      <c r="AA75" s="556"/>
      <c r="AB75" s="556"/>
      <c r="AC75" s="556"/>
      <c r="AD75" s="556"/>
      <c r="AE75" s="556"/>
      <c r="AF75" s="556"/>
      <c r="AG75" s="556"/>
      <c r="AH75" s="556"/>
      <c r="AI75" s="556"/>
      <c r="AJ75" s="556"/>
      <c r="AK75" s="556"/>
      <c r="AL75" s="556"/>
      <c r="AM75" s="556"/>
      <c r="AN75" s="556"/>
      <c r="AO75" s="556"/>
    </row>
    <row r="76" spans="1:41" ht="15.75">
      <c r="A76" s="394"/>
      <c r="B76" s="393"/>
      <c r="E76" s="555"/>
      <c r="F76" s="555"/>
      <c r="G76" s="555"/>
      <c r="H76" s="555"/>
      <c r="I76" s="555"/>
      <c r="J76" s="555"/>
      <c r="K76" s="555"/>
      <c r="L76" s="393"/>
      <c r="M76" s="555"/>
      <c r="N76" s="555"/>
      <c r="O76" s="555"/>
      <c r="P76" s="555"/>
      <c r="Q76" s="555"/>
      <c r="R76" s="393"/>
      <c r="S76" s="393"/>
      <c r="T76" s="393"/>
      <c r="U76" s="393"/>
      <c r="V76" s="393"/>
      <c r="W76" s="556"/>
      <c r="X76" s="556"/>
      <c r="Y76" s="556"/>
      <c r="Z76" s="556"/>
      <c r="AA76" s="556"/>
      <c r="AB76" s="556"/>
      <c r="AC76" s="556"/>
      <c r="AD76" s="556"/>
      <c r="AE76" s="556"/>
      <c r="AF76" s="556"/>
      <c r="AG76" s="556"/>
      <c r="AH76" s="556"/>
      <c r="AI76" s="556"/>
      <c r="AJ76" s="556"/>
      <c r="AK76" s="556"/>
      <c r="AL76" s="556"/>
      <c r="AM76" s="556"/>
      <c r="AN76" s="556"/>
      <c r="AO76" s="556"/>
    </row>
    <row r="77" spans="1:41" ht="15.75">
      <c r="A77" s="394"/>
      <c r="B77" s="393"/>
      <c r="E77" s="555"/>
      <c r="F77" s="555"/>
      <c r="G77" s="555"/>
      <c r="H77" s="555"/>
      <c r="I77" s="555"/>
      <c r="J77" s="555"/>
      <c r="K77" s="555"/>
      <c r="L77" s="393"/>
      <c r="M77" s="555"/>
      <c r="N77" s="555"/>
      <c r="O77" s="555"/>
      <c r="P77" s="555"/>
      <c r="Q77" s="555"/>
      <c r="R77" s="393"/>
      <c r="S77" s="393"/>
      <c r="T77" s="393"/>
      <c r="U77" s="393"/>
      <c r="V77" s="393"/>
      <c r="W77" s="556"/>
      <c r="X77" s="556"/>
      <c r="Y77" s="556"/>
      <c r="Z77" s="556"/>
      <c r="AA77" s="556"/>
      <c r="AB77" s="556"/>
      <c r="AC77" s="556"/>
      <c r="AD77" s="556"/>
      <c r="AE77" s="556"/>
      <c r="AF77" s="556"/>
      <c r="AG77" s="556"/>
      <c r="AH77" s="556"/>
      <c r="AI77" s="556"/>
      <c r="AJ77" s="556"/>
      <c r="AK77" s="556"/>
      <c r="AL77" s="556"/>
      <c r="AM77" s="556"/>
      <c r="AN77" s="556"/>
      <c r="AO77" s="556"/>
    </row>
    <row r="78" spans="1:41" ht="15.75">
      <c r="A78" s="394"/>
      <c r="B78" s="393"/>
      <c r="E78" s="555"/>
      <c r="F78" s="555"/>
      <c r="G78" s="555"/>
      <c r="H78" s="555"/>
      <c r="I78" s="555"/>
      <c r="J78" s="555"/>
      <c r="K78" s="555"/>
      <c r="L78" s="393"/>
      <c r="M78" s="555"/>
      <c r="N78" s="555"/>
      <c r="O78" s="555"/>
      <c r="P78" s="555"/>
      <c r="Q78" s="555"/>
      <c r="R78" s="393"/>
      <c r="S78" s="393"/>
      <c r="T78" s="393"/>
      <c r="U78" s="393"/>
      <c r="V78" s="393"/>
      <c r="W78" s="556"/>
      <c r="X78" s="556"/>
      <c r="Y78" s="556"/>
      <c r="Z78" s="556"/>
      <c r="AA78" s="556"/>
      <c r="AB78" s="556"/>
      <c r="AC78" s="556"/>
      <c r="AD78" s="556"/>
      <c r="AE78" s="556"/>
      <c r="AF78" s="556"/>
      <c r="AG78" s="556"/>
      <c r="AH78" s="556"/>
      <c r="AI78" s="556"/>
      <c r="AJ78" s="556"/>
      <c r="AK78" s="556"/>
      <c r="AL78" s="556"/>
      <c r="AM78" s="556"/>
      <c r="AN78" s="556"/>
      <c r="AO78" s="556"/>
    </row>
    <row r="79" spans="1:41" ht="15.75">
      <c r="A79" s="394"/>
      <c r="B79" s="393"/>
      <c r="E79" s="555"/>
      <c r="F79" s="555"/>
      <c r="G79" s="555"/>
      <c r="H79" s="555"/>
      <c r="I79" s="555"/>
      <c r="J79" s="555"/>
      <c r="K79" s="555"/>
      <c r="L79" s="393"/>
      <c r="M79" s="555"/>
      <c r="N79" s="555"/>
      <c r="O79" s="555"/>
      <c r="P79" s="555"/>
      <c r="Q79" s="555"/>
      <c r="R79" s="393"/>
      <c r="S79" s="393"/>
      <c r="T79" s="393"/>
      <c r="U79" s="393"/>
      <c r="V79" s="393"/>
      <c r="W79" s="556"/>
      <c r="X79" s="556"/>
      <c r="Y79" s="556"/>
      <c r="Z79" s="556"/>
      <c r="AA79" s="556"/>
      <c r="AB79" s="556"/>
      <c r="AC79" s="556"/>
      <c r="AD79" s="556"/>
      <c r="AE79" s="556"/>
      <c r="AF79" s="556"/>
      <c r="AG79" s="556"/>
      <c r="AH79" s="556"/>
      <c r="AI79" s="556"/>
      <c r="AJ79" s="556"/>
      <c r="AK79" s="556"/>
      <c r="AL79" s="556"/>
      <c r="AM79" s="556"/>
      <c r="AN79" s="556"/>
      <c r="AO79" s="556"/>
    </row>
    <row r="80" spans="1:41" ht="15.75">
      <c r="A80" s="394"/>
      <c r="B80" s="393"/>
      <c r="E80" s="555"/>
      <c r="F80" s="555"/>
      <c r="G80" s="555"/>
      <c r="H80" s="555"/>
      <c r="I80" s="555"/>
      <c r="J80" s="555"/>
      <c r="K80" s="555"/>
      <c r="L80" s="393"/>
      <c r="M80" s="555"/>
      <c r="N80" s="555"/>
      <c r="O80" s="555"/>
      <c r="P80" s="555"/>
      <c r="Q80" s="555"/>
      <c r="R80" s="393"/>
      <c r="S80" s="393"/>
      <c r="T80" s="393"/>
      <c r="U80" s="393"/>
      <c r="V80" s="393"/>
      <c r="W80" s="556"/>
      <c r="X80" s="556"/>
      <c r="Y80" s="556"/>
      <c r="Z80" s="556"/>
      <c r="AA80" s="556"/>
      <c r="AB80" s="556"/>
      <c r="AC80" s="556"/>
      <c r="AD80" s="556"/>
      <c r="AE80" s="556"/>
      <c r="AF80" s="556"/>
      <c r="AG80" s="556"/>
      <c r="AH80" s="556"/>
      <c r="AI80" s="556"/>
      <c r="AJ80" s="556"/>
      <c r="AK80" s="556"/>
      <c r="AL80" s="556"/>
      <c r="AM80" s="556"/>
      <c r="AN80" s="556"/>
      <c r="AO80" s="556"/>
    </row>
    <row r="81" spans="1:41" ht="15.75">
      <c r="A81" s="394"/>
      <c r="B81" s="393"/>
      <c r="E81" s="555"/>
      <c r="F81" s="555"/>
      <c r="G81" s="555"/>
      <c r="H81" s="555"/>
      <c r="I81" s="555"/>
      <c r="J81" s="555"/>
      <c r="K81" s="555"/>
      <c r="L81" s="393"/>
      <c r="M81" s="555"/>
      <c r="N81" s="555"/>
      <c r="O81" s="555"/>
      <c r="P81" s="555"/>
      <c r="Q81" s="555"/>
      <c r="R81" s="393"/>
      <c r="S81" s="393"/>
      <c r="T81" s="393"/>
      <c r="U81" s="393"/>
      <c r="V81" s="393"/>
      <c r="W81" s="556"/>
      <c r="X81" s="556"/>
      <c r="Y81" s="556"/>
      <c r="Z81" s="556"/>
      <c r="AA81" s="556"/>
      <c r="AB81" s="556"/>
      <c r="AC81" s="556"/>
      <c r="AD81" s="556"/>
      <c r="AE81" s="556"/>
      <c r="AF81" s="556"/>
      <c r="AG81" s="556"/>
      <c r="AH81" s="556"/>
      <c r="AI81" s="556"/>
      <c r="AJ81" s="556"/>
      <c r="AK81" s="556"/>
      <c r="AL81" s="556"/>
      <c r="AM81" s="556"/>
      <c r="AN81" s="556"/>
      <c r="AO81" s="556"/>
    </row>
    <row r="82" spans="1:41" ht="15.75">
      <c r="A82" s="394"/>
      <c r="B82" s="393"/>
      <c r="E82" s="555"/>
      <c r="F82" s="555"/>
      <c r="G82" s="555"/>
      <c r="H82" s="555"/>
      <c r="I82" s="555"/>
      <c r="J82" s="555"/>
      <c r="K82" s="555"/>
      <c r="L82" s="393"/>
      <c r="M82" s="555"/>
      <c r="N82" s="555"/>
      <c r="O82" s="555"/>
      <c r="P82" s="555"/>
      <c r="Q82" s="555"/>
      <c r="R82" s="393"/>
      <c r="S82" s="393"/>
      <c r="T82" s="393"/>
      <c r="U82" s="393"/>
      <c r="V82" s="393"/>
      <c r="W82" s="556"/>
      <c r="X82" s="556"/>
      <c r="Y82" s="556"/>
      <c r="Z82" s="556"/>
      <c r="AA82" s="556"/>
      <c r="AB82" s="556"/>
      <c r="AC82" s="556"/>
      <c r="AD82" s="556"/>
      <c r="AE82" s="556"/>
      <c r="AF82" s="556"/>
      <c r="AG82" s="556"/>
      <c r="AH82" s="556"/>
      <c r="AI82" s="556"/>
      <c r="AJ82" s="556"/>
      <c r="AK82" s="556"/>
      <c r="AL82" s="556"/>
      <c r="AM82" s="556"/>
      <c r="AN82" s="556"/>
      <c r="AO82" s="556"/>
    </row>
    <row r="83" spans="1:41" ht="15.75">
      <c r="A83" s="394"/>
      <c r="B83" s="393"/>
      <c r="E83" s="555"/>
      <c r="F83" s="555"/>
      <c r="G83" s="555"/>
      <c r="H83" s="555"/>
      <c r="I83" s="555"/>
      <c r="J83" s="555"/>
      <c r="K83" s="555"/>
      <c r="L83" s="393"/>
      <c r="M83" s="555"/>
      <c r="N83" s="555"/>
      <c r="O83" s="555"/>
      <c r="P83" s="555"/>
      <c r="Q83" s="555"/>
      <c r="R83" s="393"/>
      <c r="S83" s="393"/>
      <c r="T83" s="393"/>
      <c r="U83" s="393"/>
      <c r="V83" s="393"/>
      <c r="W83" s="556"/>
      <c r="X83" s="556"/>
      <c r="Y83" s="556"/>
      <c r="Z83" s="556"/>
      <c r="AA83" s="556"/>
      <c r="AB83" s="556"/>
      <c r="AC83" s="556"/>
      <c r="AD83" s="556"/>
      <c r="AE83" s="556"/>
      <c r="AF83" s="556"/>
      <c r="AG83" s="556"/>
      <c r="AH83" s="556"/>
      <c r="AI83" s="556"/>
      <c r="AJ83" s="556"/>
      <c r="AK83" s="556"/>
      <c r="AL83" s="556"/>
      <c r="AM83" s="556"/>
      <c r="AN83" s="556"/>
      <c r="AO83" s="556"/>
    </row>
    <row r="84" spans="1:41" ht="15.75">
      <c r="A84" s="394"/>
      <c r="B84" s="393"/>
      <c r="E84" s="555"/>
      <c r="F84" s="555"/>
      <c r="G84" s="555"/>
      <c r="H84" s="555"/>
      <c r="I84" s="555"/>
      <c r="J84" s="555"/>
      <c r="K84" s="555"/>
      <c r="L84" s="393"/>
      <c r="M84" s="555"/>
      <c r="N84" s="555"/>
      <c r="O84" s="555"/>
      <c r="P84" s="555"/>
      <c r="Q84" s="555"/>
      <c r="R84" s="393"/>
      <c r="S84" s="393"/>
      <c r="T84" s="393"/>
      <c r="U84" s="393"/>
      <c r="V84" s="393"/>
      <c r="W84" s="556"/>
      <c r="X84" s="556"/>
      <c r="Y84" s="556"/>
      <c r="Z84" s="556"/>
      <c r="AA84" s="556"/>
      <c r="AB84" s="556"/>
      <c r="AC84" s="556"/>
      <c r="AD84" s="556"/>
      <c r="AE84" s="556"/>
      <c r="AF84" s="556"/>
      <c r="AG84" s="556"/>
      <c r="AH84" s="556"/>
      <c r="AI84" s="556"/>
      <c r="AJ84" s="556"/>
      <c r="AK84" s="556"/>
      <c r="AL84" s="556"/>
      <c r="AM84" s="556"/>
      <c r="AN84" s="556"/>
      <c r="AO84" s="556"/>
    </row>
    <row r="85" spans="1:41" ht="15.75">
      <c r="A85" s="394"/>
      <c r="B85" s="393"/>
      <c r="E85" s="555"/>
      <c r="F85" s="555"/>
      <c r="G85" s="555"/>
      <c r="H85" s="555"/>
      <c r="I85" s="555"/>
      <c r="J85" s="555"/>
      <c r="K85" s="555"/>
      <c r="L85" s="393"/>
      <c r="M85" s="555"/>
      <c r="N85" s="555"/>
      <c r="O85" s="555"/>
      <c r="P85" s="555"/>
      <c r="Q85" s="555"/>
      <c r="R85" s="393"/>
      <c r="S85" s="393"/>
      <c r="T85" s="393"/>
      <c r="U85" s="393"/>
      <c r="V85" s="393"/>
      <c r="W85" s="556"/>
      <c r="X85" s="556"/>
      <c r="Y85" s="556"/>
      <c r="Z85" s="556"/>
      <c r="AA85" s="556"/>
      <c r="AB85" s="556"/>
      <c r="AC85" s="556"/>
      <c r="AD85" s="556"/>
      <c r="AE85" s="556"/>
      <c r="AF85" s="556"/>
      <c r="AG85" s="556"/>
      <c r="AH85" s="556"/>
      <c r="AI85" s="556"/>
      <c r="AJ85" s="556"/>
      <c r="AK85" s="556"/>
      <c r="AL85" s="556"/>
      <c r="AM85" s="556"/>
      <c r="AN85" s="556"/>
      <c r="AO85" s="556"/>
    </row>
    <row r="86" spans="1:41" ht="15.75">
      <c r="A86" s="394"/>
      <c r="B86" s="393"/>
      <c r="E86" s="555"/>
      <c r="F86" s="555"/>
      <c r="G86" s="555"/>
      <c r="H86" s="555"/>
      <c r="I86" s="555"/>
      <c r="J86" s="555"/>
      <c r="K86" s="555"/>
      <c r="L86" s="393"/>
      <c r="M86" s="555"/>
      <c r="N86" s="555"/>
      <c r="O86" s="555"/>
      <c r="P86" s="555"/>
      <c r="Q86" s="555"/>
      <c r="R86" s="393"/>
      <c r="S86" s="393"/>
      <c r="T86" s="393"/>
      <c r="U86" s="393"/>
      <c r="V86" s="393"/>
      <c r="W86" s="556"/>
      <c r="X86" s="556"/>
      <c r="Y86" s="556"/>
      <c r="Z86" s="556"/>
      <c r="AA86" s="556"/>
      <c r="AB86" s="556"/>
      <c r="AC86" s="556"/>
      <c r="AD86" s="556"/>
      <c r="AE86" s="556"/>
      <c r="AF86" s="556"/>
      <c r="AG86" s="556"/>
      <c r="AH86" s="556"/>
      <c r="AI86" s="556"/>
      <c r="AJ86" s="556"/>
      <c r="AK86" s="556"/>
      <c r="AL86" s="556"/>
      <c r="AM86" s="556"/>
      <c r="AN86" s="556"/>
      <c r="AO86" s="556"/>
    </row>
    <row r="87" spans="1:41" ht="15.75">
      <c r="A87" s="394"/>
      <c r="B87" s="393"/>
      <c r="E87" s="555"/>
      <c r="F87" s="555"/>
      <c r="G87" s="555"/>
      <c r="H87" s="555"/>
      <c r="I87" s="555"/>
      <c r="J87" s="555"/>
      <c r="K87" s="555"/>
      <c r="L87" s="393"/>
      <c r="M87" s="555"/>
      <c r="N87" s="555"/>
      <c r="O87" s="555"/>
      <c r="P87" s="555"/>
      <c r="Q87" s="555"/>
      <c r="R87" s="393"/>
      <c r="S87" s="393"/>
      <c r="T87" s="393"/>
      <c r="U87" s="393"/>
      <c r="V87" s="393"/>
      <c r="W87" s="556"/>
      <c r="X87" s="556"/>
      <c r="Y87" s="556"/>
      <c r="Z87" s="556"/>
      <c r="AA87" s="556"/>
      <c r="AB87" s="556"/>
      <c r="AC87" s="556"/>
      <c r="AD87" s="556"/>
      <c r="AE87" s="556"/>
      <c r="AF87" s="556"/>
      <c r="AG87" s="556"/>
      <c r="AH87" s="556"/>
      <c r="AI87" s="556"/>
      <c r="AJ87" s="556"/>
      <c r="AK87" s="556"/>
      <c r="AL87" s="556"/>
      <c r="AM87" s="556"/>
      <c r="AN87" s="556"/>
      <c r="AO87" s="556"/>
    </row>
    <row r="88" spans="1:41" ht="15.75">
      <c r="A88" s="394"/>
      <c r="B88" s="393"/>
      <c r="E88" s="555"/>
      <c r="F88" s="555"/>
      <c r="G88" s="555"/>
      <c r="H88" s="555"/>
      <c r="I88" s="555"/>
      <c r="J88" s="555"/>
      <c r="K88" s="555"/>
      <c r="L88" s="393"/>
      <c r="M88" s="555"/>
      <c r="N88" s="555"/>
      <c r="O88" s="555"/>
      <c r="P88" s="555"/>
      <c r="Q88" s="555"/>
      <c r="R88" s="393"/>
      <c r="S88" s="393"/>
      <c r="T88" s="393"/>
      <c r="U88" s="393"/>
      <c r="V88" s="393"/>
      <c r="W88" s="556"/>
      <c r="X88" s="556"/>
      <c r="Y88" s="556"/>
      <c r="Z88" s="556"/>
      <c r="AA88" s="556"/>
      <c r="AB88" s="556"/>
      <c r="AC88" s="556"/>
      <c r="AD88" s="556"/>
      <c r="AE88" s="556"/>
      <c r="AF88" s="556"/>
      <c r="AG88" s="556"/>
      <c r="AH88" s="556"/>
      <c r="AI88" s="556"/>
      <c r="AJ88" s="556"/>
      <c r="AK88" s="556"/>
      <c r="AL88" s="556"/>
      <c r="AM88" s="556"/>
      <c r="AN88" s="556"/>
      <c r="AO88" s="556"/>
    </row>
    <row r="89" spans="1:41" ht="15.75">
      <c r="A89" s="394"/>
      <c r="B89" s="393"/>
      <c r="E89" s="555"/>
      <c r="F89" s="555"/>
      <c r="G89" s="555"/>
      <c r="H89" s="555"/>
      <c r="I89" s="555"/>
      <c r="J89" s="555"/>
      <c r="K89" s="555"/>
      <c r="L89" s="393"/>
      <c r="M89" s="555"/>
      <c r="N89" s="555"/>
      <c r="O89" s="555"/>
      <c r="P89" s="555"/>
      <c r="Q89" s="555"/>
      <c r="R89" s="393"/>
      <c r="S89" s="393"/>
      <c r="T89" s="393"/>
      <c r="U89" s="393"/>
      <c r="V89" s="393"/>
      <c r="W89" s="556"/>
      <c r="X89" s="556"/>
      <c r="Y89" s="556"/>
      <c r="Z89" s="556"/>
      <c r="AA89" s="556"/>
      <c r="AB89" s="556"/>
      <c r="AC89" s="556"/>
      <c r="AD89" s="556"/>
      <c r="AE89" s="556"/>
      <c r="AF89" s="556"/>
      <c r="AG89" s="556"/>
      <c r="AH89" s="556"/>
      <c r="AI89" s="556"/>
      <c r="AJ89" s="556"/>
      <c r="AK89" s="556"/>
      <c r="AL89" s="556"/>
      <c r="AM89" s="556"/>
      <c r="AN89" s="556"/>
      <c r="AO89" s="556"/>
    </row>
    <row r="90" spans="1:41" ht="15.75">
      <c r="A90" s="394"/>
      <c r="B90" s="393"/>
      <c r="E90" s="555"/>
      <c r="F90" s="555"/>
      <c r="G90" s="555"/>
      <c r="H90" s="555"/>
      <c r="I90" s="555"/>
      <c r="J90" s="555"/>
      <c r="K90" s="555"/>
      <c r="L90" s="393"/>
      <c r="M90" s="555"/>
      <c r="N90" s="555"/>
      <c r="O90" s="555"/>
      <c r="P90" s="555"/>
      <c r="Q90" s="555"/>
      <c r="R90" s="393"/>
      <c r="S90" s="393"/>
      <c r="T90" s="393"/>
      <c r="U90" s="393"/>
      <c r="V90" s="393"/>
      <c r="W90" s="556"/>
      <c r="X90" s="556"/>
      <c r="Y90" s="556"/>
      <c r="Z90" s="556"/>
      <c r="AA90" s="556"/>
      <c r="AB90" s="556"/>
      <c r="AC90" s="556"/>
      <c r="AD90" s="556"/>
      <c r="AE90" s="556"/>
      <c r="AF90" s="556"/>
      <c r="AG90" s="556"/>
      <c r="AH90" s="556"/>
      <c r="AI90" s="556"/>
      <c r="AJ90" s="556"/>
      <c r="AK90" s="556"/>
      <c r="AL90" s="556"/>
      <c r="AM90" s="556"/>
      <c r="AN90" s="556"/>
      <c r="AO90" s="556"/>
    </row>
    <row r="91" spans="1:41" ht="15.75">
      <c r="A91" s="394"/>
      <c r="B91" s="393"/>
      <c r="E91" s="555"/>
      <c r="F91" s="555"/>
      <c r="G91" s="555"/>
      <c r="H91" s="555"/>
      <c r="I91" s="555"/>
      <c r="J91" s="555"/>
      <c r="K91" s="555"/>
      <c r="L91" s="393"/>
      <c r="M91" s="555"/>
      <c r="N91" s="555"/>
      <c r="O91" s="555"/>
      <c r="P91" s="555"/>
      <c r="Q91" s="555"/>
      <c r="R91" s="393"/>
      <c r="S91" s="393"/>
      <c r="T91" s="393"/>
      <c r="U91" s="393"/>
      <c r="V91" s="393"/>
      <c r="W91" s="556"/>
      <c r="X91" s="556"/>
      <c r="Y91" s="556"/>
      <c r="Z91" s="556"/>
      <c r="AA91" s="556"/>
      <c r="AB91" s="556"/>
      <c r="AC91" s="556"/>
      <c r="AD91" s="556"/>
      <c r="AE91" s="556"/>
      <c r="AF91" s="556"/>
      <c r="AG91" s="556"/>
      <c r="AH91" s="556"/>
      <c r="AI91" s="556"/>
      <c r="AJ91" s="556"/>
      <c r="AK91" s="556"/>
      <c r="AL91" s="556"/>
      <c r="AM91" s="556"/>
      <c r="AN91" s="556"/>
      <c r="AO91" s="556"/>
    </row>
    <row r="92" spans="1:41" ht="15.75">
      <c r="A92" s="394"/>
      <c r="B92" s="393"/>
      <c r="E92" s="555"/>
      <c r="F92" s="555"/>
      <c r="G92" s="555"/>
      <c r="H92" s="555"/>
      <c r="I92" s="555"/>
      <c r="J92" s="555"/>
      <c r="K92" s="555"/>
      <c r="L92" s="393"/>
      <c r="M92" s="555"/>
      <c r="N92" s="555"/>
      <c r="O92" s="555"/>
      <c r="P92" s="555"/>
      <c r="Q92" s="555"/>
      <c r="R92" s="393"/>
      <c r="S92" s="393"/>
      <c r="T92" s="393"/>
      <c r="U92" s="393"/>
      <c r="V92" s="393"/>
      <c r="W92" s="556"/>
      <c r="X92" s="556"/>
      <c r="Y92" s="556"/>
      <c r="Z92" s="556"/>
      <c r="AA92" s="556"/>
      <c r="AB92" s="556"/>
      <c r="AC92" s="556"/>
      <c r="AD92" s="556"/>
      <c r="AE92" s="556"/>
      <c r="AF92" s="556"/>
      <c r="AG92" s="556"/>
      <c r="AH92" s="556"/>
      <c r="AI92" s="556"/>
      <c r="AJ92" s="556"/>
      <c r="AK92" s="556"/>
      <c r="AL92" s="556"/>
      <c r="AM92" s="556"/>
      <c r="AN92" s="556"/>
      <c r="AO92" s="556"/>
    </row>
    <row r="93" spans="1:41" ht="15.75">
      <c r="A93" s="394"/>
      <c r="B93" s="393"/>
      <c r="E93" s="555"/>
      <c r="F93" s="555"/>
      <c r="G93" s="555"/>
      <c r="H93" s="555"/>
      <c r="I93" s="555"/>
      <c r="J93" s="555"/>
      <c r="K93" s="555"/>
      <c r="L93" s="393"/>
      <c r="M93" s="555"/>
      <c r="N93" s="555"/>
      <c r="O93" s="555"/>
      <c r="P93" s="555"/>
      <c r="Q93" s="555"/>
      <c r="R93" s="393"/>
      <c r="S93" s="393"/>
      <c r="T93" s="393"/>
      <c r="U93" s="393"/>
      <c r="V93" s="393"/>
      <c r="W93" s="556"/>
      <c r="X93" s="556"/>
      <c r="Y93" s="556"/>
      <c r="Z93" s="556"/>
      <c r="AA93" s="556"/>
      <c r="AB93" s="556"/>
      <c r="AC93" s="556"/>
      <c r="AD93" s="556"/>
      <c r="AE93" s="556"/>
      <c r="AF93" s="556"/>
      <c r="AG93" s="556"/>
      <c r="AH93" s="556"/>
      <c r="AI93" s="556"/>
      <c r="AJ93" s="556"/>
      <c r="AK93" s="556"/>
      <c r="AL93" s="556"/>
      <c r="AM93" s="556"/>
      <c r="AN93" s="556"/>
      <c r="AO93" s="556"/>
    </row>
    <row r="94" spans="1:41" ht="15.75">
      <c r="A94" s="394"/>
      <c r="B94" s="393"/>
      <c r="E94" s="555"/>
      <c r="F94" s="555"/>
      <c r="G94" s="555"/>
      <c r="H94" s="555"/>
      <c r="I94" s="555"/>
      <c r="J94" s="555"/>
      <c r="K94" s="555"/>
      <c r="L94" s="393"/>
      <c r="M94" s="555"/>
      <c r="N94" s="555"/>
      <c r="O94" s="555"/>
      <c r="P94" s="555"/>
      <c r="Q94" s="555"/>
      <c r="R94" s="393"/>
      <c r="S94" s="393"/>
      <c r="T94" s="393"/>
      <c r="U94" s="393"/>
      <c r="V94" s="393"/>
      <c r="W94" s="556"/>
      <c r="X94" s="556"/>
      <c r="Y94" s="556"/>
      <c r="Z94" s="556"/>
      <c r="AA94" s="556"/>
      <c r="AB94" s="556"/>
      <c r="AC94" s="556"/>
      <c r="AD94" s="556"/>
      <c r="AE94" s="556"/>
      <c r="AF94" s="556"/>
      <c r="AG94" s="556"/>
      <c r="AH94" s="556"/>
      <c r="AI94" s="556"/>
      <c r="AJ94" s="556"/>
      <c r="AK94" s="556"/>
      <c r="AL94" s="556"/>
      <c r="AM94" s="556"/>
      <c r="AN94" s="556"/>
      <c r="AO94" s="556"/>
    </row>
    <row r="95" spans="1:41" ht="15.75">
      <c r="A95" s="394"/>
      <c r="B95" s="393"/>
      <c r="E95" s="555"/>
      <c r="F95" s="555"/>
      <c r="G95" s="555"/>
      <c r="H95" s="555"/>
      <c r="I95" s="555"/>
      <c r="J95" s="555"/>
      <c r="K95" s="555"/>
      <c r="L95" s="393"/>
      <c r="M95" s="555"/>
      <c r="N95" s="555"/>
      <c r="O95" s="555"/>
      <c r="P95" s="555"/>
      <c r="Q95" s="555"/>
      <c r="R95" s="393"/>
      <c r="S95" s="393"/>
      <c r="T95" s="393"/>
      <c r="U95" s="393"/>
      <c r="V95" s="393"/>
      <c r="W95" s="556"/>
      <c r="X95" s="556"/>
      <c r="Y95" s="556"/>
      <c r="Z95" s="556"/>
      <c r="AA95" s="556"/>
      <c r="AB95" s="556"/>
      <c r="AC95" s="556"/>
      <c r="AD95" s="556"/>
      <c r="AE95" s="556"/>
      <c r="AF95" s="556"/>
      <c r="AG95" s="556"/>
      <c r="AH95" s="556"/>
      <c r="AI95" s="556"/>
      <c r="AJ95" s="556"/>
      <c r="AK95" s="556"/>
      <c r="AL95" s="556"/>
      <c r="AM95" s="556"/>
      <c r="AN95" s="556"/>
      <c r="AO95" s="556"/>
    </row>
    <row r="96" spans="1:41" ht="15.75">
      <c r="A96" s="394"/>
      <c r="B96" s="393"/>
      <c r="E96" s="555"/>
      <c r="F96" s="555"/>
      <c r="G96" s="555"/>
      <c r="H96" s="555"/>
      <c r="I96" s="555"/>
      <c r="J96" s="555"/>
      <c r="K96" s="555"/>
      <c r="L96" s="393"/>
      <c r="M96" s="555"/>
      <c r="N96" s="555"/>
      <c r="O96" s="555"/>
      <c r="P96" s="555"/>
      <c r="Q96" s="555"/>
      <c r="R96" s="393"/>
      <c r="S96" s="393"/>
      <c r="T96" s="393"/>
      <c r="U96" s="393"/>
      <c r="V96" s="393"/>
      <c r="W96" s="556"/>
      <c r="X96" s="556"/>
      <c r="Y96" s="556"/>
      <c r="Z96" s="556"/>
      <c r="AA96" s="556"/>
      <c r="AB96" s="556"/>
      <c r="AC96" s="556"/>
      <c r="AD96" s="556"/>
      <c r="AE96" s="556"/>
      <c r="AF96" s="556"/>
      <c r="AG96" s="556"/>
      <c r="AH96" s="556"/>
      <c r="AI96" s="556"/>
      <c r="AJ96" s="556"/>
      <c r="AK96" s="556"/>
      <c r="AL96" s="556"/>
      <c r="AM96" s="556"/>
      <c r="AN96" s="556"/>
      <c r="AO96" s="556"/>
    </row>
    <row r="97" spans="1:41" ht="15.75">
      <c r="A97" s="394"/>
      <c r="B97" s="393"/>
      <c r="E97" s="555"/>
      <c r="F97" s="555"/>
      <c r="G97" s="555"/>
      <c r="H97" s="555"/>
      <c r="I97" s="555"/>
      <c r="J97" s="555"/>
      <c r="K97" s="555"/>
      <c r="L97" s="393"/>
      <c r="M97" s="555"/>
      <c r="N97" s="555"/>
      <c r="O97" s="555"/>
      <c r="P97" s="555"/>
      <c r="Q97" s="555"/>
      <c r="R97" s="393"/>
      <c r="S97" s="393"/>
      <c r="T97" s="393"/>
      <c r="U97" s="393"/>
      <c r="V97" s="393"/>
      <c r="W97" s="556"/>
      <c r="X97" s="556"/>
      <c r="Y97" s="556"/>
      <c r="Z97" s="556"/>
      <c r="AA97" s="556"/>
      <c r="AB97" s="556"/>
      <c r="AC97" s="556"/>
      <c r="AD97" s="556"/>
      <c r="AE97" s="556"/>
      <c r="AF97" s="556"/>
      <c r="AG97" s="556"/>
      <c r="AH97" s="556"/>
      <c r="AI97" s="556"/>
      <c r="AJ97" s="556"/>
      <c r="AK97" s="556"/>
      <c r="AL97" s="556"/>
      <c r="AM97" s="556"/>
      <c r="AN97" s="556"/>
      <c r="AO97" s="556"/>
    </row>
    <row r="98" spans="1:41" ht="15.75">
      <c r="A98" s="394"/>
      <c r="B98" s="393"/>
      <c r="E98" s="555"/>
      <c r="F98" s="555"/>
      <c r="G98" s="555"/>
      <c r="H98" s="555"/>
      <c r="I98" s="555"/>
      <c r="J98" s="555"/>
      <c r="K98" s="555"/>
      <c r="L98" s="393"/>
      <c r="M98" s="555"/>
      <c r="N98" s="555"/>
      <c r="O98" s="555"/>
      <c r="P98" s="555"/>
      <c r="Q98" s="555"/>
      <c r="R98" s="393"/>
      <c r="S98" s="393"/>
      <c r="T98" s="393"/>
      <c r="U98" s="393"/>
      <c r="V98" s="393"/>
      <c r="W98" s="556"/>
      <c r="X98" s="556"/>
      <c r="Y98" s="556"/>
      <c r="Z98" s="556"/>
      <c r="AA98" s="556"/>
      <c r="AB98" s="556"/>
      <c r="AC98" s="556"/>
      <c r="AD98" s="556"/>
      <c r="AE98" s="556"/>
      <c r="AF98" s="556"/>
      <c r="AG98" s="556"/>
      <c r="AH98" s="556"/>
      <c r="AI98" s="556"/>
      <c r="AJ98" s="556"/>
      <c r="AK98" s="556"/>
      <c r="AL98" s="556"/>
      <c r="AM98" s="556"/>
      <c r="AN98" s="556"/>
      <c r="AO98" s="556"/>
    </row>
    <row r="99" spans="1:41" ht="15.75">
      <c r="A99" s="394"/>
      <c r="B99" s="393"/>
      <c r="E99" s="555"/>
      <c r="F99" s="555"/>
      <c r="G99" s="555"/>
      <c r="H99" s="555"/>
      <c r="I99" s="555"/>
      <c r="J99" s="555"/>
      <c r="K99" s="555"/>
      <c r="L99" s="393"/>
      <c r="M99" s="555"/>
      <c r="N99" s="555"/>
      <c r="O99" s="555"/>
      <c r="P99" s="555"/>
      <c r="Q99" s="555"/>
      <c r="R99" s="393"/>
      <c r="S99" s="393"/>
      <c r="T99" s="393"/>
      <c r="U99" s="393"/>
      <c r="V99" s="393"/>
      <c r="W99" s="556"/>
      <c r="X99" s="556"/>
      <c r="Y99" s="556"/>
      <c r="Z99" s="556"/>
      <c r="AA99" s="556"/>
      <c r="AB99" s="556"/>
      <c r="AC99" s="556"/>
      <c r="AD99" s="556"/>
      <c r="AE99" s="556"/>
      <c r="AF99" s="556"/>
      <c r="AG99" s="556"/>
      <c r="AH99" s="556"/>
      <c r="AI99" s="556"/>
      <c r="AJ99" s="556"/>
      <c r="AK99" s="556"/>
      <c r="AL99" s="556"/>
      <c r="AM99" s="556"/>
      <c r="AN99" s="556"/>
      <c r="AO99" s="556"/>
    </row>
    <row r="100" spans="1:4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56"/>
      <c r="X100" s="556"/>
      <c r="Y100" s="556"/>
      <c r="Z100" s="556"/>
      <c r="AA100" s="556"/>
      <c r="AB100" s="556"/>
      <c r="AC100" s="556"/>
      <c r="AD100" s="556"/>
      <c r="AE100" s="556"/>
      <c r="AF100" s="556"/>
      <c r="AG100" s="556"/>
      <c r="AH100" s="556"/>
      <c r="AI100" s="556"/>
      <c r="AJ100" s="556"/>
      <c r="AK100" s="556"/>
      <c r="AL100" s="556"/>
      <c r="AM100" s="556"/>
      <c r="AN100" s="556"/>
      <c r="AO100" s="556"/>
    </row>
    <row r="101" spans="1:4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56"/>
      <c r="X101" s="556"/>
      <c r="Y101" s="556"/>
      <c r="Z101" s="556"/>
      <c r="AA101" s="556"/>
      <c r="AB101" s="556"/>
      <c r="AC101" s="556"/>
      <c r="AD101" s="556"/>
      <c r="AE101" s="556"/>
      <c r="AF101" s="556"/>
      <c r="AG101" s="556"/>
      <c r="AH101" s="556"/>
      <c r="AI101" s="556"/>
      <c r="AJ101" s="556"/>
      <c r="AK101" s="556"/>
      <c r="AL101" s="556"/>
      <c r="AM101" s="556"/>
      <c r="AN101" s="556"/>
      <c r="AO101" s="556"/>
    </row>
    <row r="102" spans="1:4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56"/>
      <c r="X102" s="556"/>
      <c r="Y102" s="556"/>
      <c r="Z102" s="556"/>
      <c r="AA102" s="556"/>
      <c r="AB102" s="556"/>
      <c r="AC102" s="556"/>
      <c r="AD102" s="556"/>
      <c r="AE102" s="556"/>
      <c r="AF102" s="556"/>
      <c r="AG102" s="556"/>
      <c r="AH102" s="556"/>
      <c r="AI102" s="556"/>
      <c r="AJ102" s="556"/>
      <c r="AK102" s="556"/>
      <c r="AL102" s="556"/>
      <c r="AM102" s="556"/>
      <c r="AN102" s="556"/>
      <c r="AO102" s="556"/>
    </row>
    <row r="103" spans="1:4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row>
    <row r="104" spans="1:4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row>
    <row r="105" spans="1:4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row>
    <row r="106" spans="1:4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row>
    <row r="107" spans="1:41" ht="12.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row>
    <row r="108" spans="1:41" ht="12.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row>
    <row r="109" spans="1:41" ht="12.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row>
    <row r="110" spans="1:41" ht="12.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row>
    <row r="111" spans="1:41" ht="12.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row>
    <row r="112" spans="1:41" ht="12.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row>
    <row r="113" spans="1:22" ht="12.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row>
    <row r="114" spans="1:22" ht="12.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row>
    <row r="115" spans="1:22" ht="12.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row>
    <row r="116" spans="1:22" ht="12.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row>
    <row r="117" spans="1:22" ht="12.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row>
    <row r="118" spans="1:22">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row>
    <row r="119" spans="1:22">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row>
    <row r="120" spans="1:22">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row>
    <row r="121" spans="1:22">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row>
    <row r="122" spans="1:22">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row>
    <row r="123" spans="1:22">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row>
    <row r="124" spans="1:22">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row>
    <row r="125" spans="1:22">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row>
    <row r="126" spans="1:22">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row>
    <row r="127" spans="1:22">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row>
    <row r="128" spans="1:22">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row>
    <row r="129" spans="1:22">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row>
    <row r="130" spans="1:22">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row>
    <row r="131" spans="1:22">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row>
    <row r="132" spans="1:22">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row>
    <row r="133" spans="1:22">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row>
    <row r="134" spans="1:22">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row>
    <row r="135" spans="1:22">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row>
    <row r="136" spans="1:22">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row>
    <row r="137" spans="1:22">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row>
    <row r="138" spans="1:22" ht="12.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row>
    <row r="139" spans="1:22" ht="12.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row>
    <row r="140" spans="1:22" ht="12.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row>
    <row r="141" spans="1:22">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row>
    <row r="142" spans="1:22">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row>
    <row r="143" spans="1:22">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row>
    <row r="144" spans="1:22">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row>
    <row r="145" spans="1:22">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row>
    <row r="146" spans="1:22">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row>
    <row r="147" spans="1:22">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row>
    <row r="148" spans="1:22">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row>
    <row r="149" spans="1:22">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row>
    <row r="150" spans="1:22">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row>
    <row r="151" spans="1:22">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6" zoomScale="75" workbookViewId="0">
      <selection activeCell="A4" sqref="D4"/>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4" t="s">
        <v>408</v>
      </c>
    </row>
    <row r="2" spans="1:11" ht="15.75">
      <c r="A2" s="1004" t="s">
        <v>408</v>
      </c>
    </row>
    <row r="3" spans="1:11">
      <c r="A3" s="1472" t="str">
        <f>TCOS!$F$5</f>
        <v>AEPTCo subsidiaries in PJM</v>
      </c>
      <c r="B3" s="1472" t="str">
        <f>TCOS!$F$5</f>
        <v>AEPTCo subsidiaries in PJM</v>
      </c>
      <c r="C3" s="1472" t="str">
        <f>TCOS!$F$5</f>
        <v>AEPTCo subsidiaries in PJM</v>
      </c>
      <c r="D3" s="1472" t="str">
        <f>TCOS!$F$5</f>
        <v>AEPTCo subsidiaries in PJM</v>
      </c>
      <c r="E3" s="1472" t="str">
        <f>TCOS!$F$5</f>
        <v>AEPTCo subsidiaries in PJM</v>
      </c>
      <c r="F3" s="1472" t="str">
        <f>TCOS!$F$5</f>
        <v>AEPTCo subsidiaries in PJM</v>
      </c>
      <c r="G3" s="1472" t="str">
        <f>TCOS!$F$5</f>
        <v>AEPTCo subsidiaries in PJM</v>
      </c>
      <c r="H3" s="21"/>
    </row>
    <row r="4" spans="1:11" ht="12.75" customHeight="1">
      <c r="A4" s="1465" t="str">
        <f>"Cost of Service Formula Rate Using Actual/Projected FF1 Balances"</f>
        <v>Cost of Service Formula Rate Using Actual/Projected FF1 Balances</v>
      </c>
      <c r="B4" s="1465"/>
      <c r="C4" s="1465"/>
      <c r="D4" s="1465"/>
      <c r="E4" s="1465"/>
      <c r="F4" s="1465"/>
      <c r="G4" s="1465"/>
      <c r="H4" s="52"/>
      <c r="I4" s="52"/>
      <c r="J4" s="52"/>
      <c r="K4" s="52"/>
    </row>
    <row r="5" spans="1:11" ht="12.75" customHeight="1">
      <c r="A5" s="1465" t="s">
        <v>278</v>
      </c>
      <c r="B5" s="1465"/>
      <c r="C5" s="1465"/>
      <c r="D5" s="1465"/>
      <c r="E5" s="1465"/>
      <c r="F5" s="1465"/>
      <c r="G5" s="1465"/>
    </row>
    <row r="6" spans="1:11" ht="12.75" customHeight="1">
      <c r="A6" s="1475" t="str">
        <f>TCOS!F9</f>
        <v>AEP Appalachian Transmission Company</v>
      </c>
      <c r="B6" s="1475"/>
      <c r="C6" s="1475"/>
      <c r="D6" s="1475"/>
      <c r="E6" s="1475"/>
      <c r="F6" s="1475"/>
      <c r="G6" s="1475"/>
    </row>
    <row r="7" spans="1:11" ht="12.75" customHeight="1">
      <c r="A7" s="1472"/>
      <c r="B7" s="1472"/>
      <c r="C7" s="1472"/>
      <c r="D7" s="1472"/>
      <c r="E7" s="1472"/>
      <c r="F7" s="1472"/>
      <c r="G7" s="25"/>
    </row>
    <row r="8" spans="1:11" ht="18">
      <c r="A8" s="1506"/>
      <c r="B8" s="1506"/>
      <c r="C8" s="1506"/>
      <c r="D8" s="1506"/>
      <c r="E8" s="1506"/>
      <c r="F8" s="1506"/>
      <c r="G8" s="1506"/>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2024</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65"/>
      <c r="C18" s="559"/>
      <c r="D18" s="558"/>
      <c r="E18" s="48"/>
      <c r="F18" s="48"/>
      <c r="G18" s="22"/>
    </row>
    <row r="19" spans="1:7">
      <c r="A19" s="32">
        <f>+A18+1</f>
        <v>2</v>
      </c>
      <c r="B19" s="966"/>
      <c r="C19" s="967"/>
      <c r="D19" s="558"/>
      <c r="E19" s="48"/>
      <c r="F19" s="48"/>
      <c r="G19" s="22"/>
    </row>
    <row r="20" spans="1:7" ht="15.75">
      <c r="A20" s="32">
        <f>+A19+1</f>
        <v>3</v>
      </c>
      <c r="B20" s="968"/>
      <c r="C20" s="559"/>
      <c r="D20" s="558"/>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47"/>
      <c r="E24" s="23"/>
      <c r="F24" s="23"/>
      <c r="G24" s="33"/>
    </row>
    <row r="25" spans="1:7" ht="15.75">
      <c r="A25" s="137">
        <f>+A24+1</f>
        <v>6</v>
      </c>
      <c r="B25" s="138" t="s">
        <v>177</v>
      </c>
      <c r="C25" s="138" t="s">
        <v>174</v>
      </c>
      <c r="D25" s="558">
        <v>0</v>
      </c>
      <c r="E25" s="23"/>
      <c r="F25" s="23"/>
      <c r="G25" s="33"/>
    </row>
    <row r="26" spans="1:7" ht="15.75">
      <c r="A26" s="32">
        <f>+A25+1</f>
        <v>7</v>
      </c>
      <c r="B26" s="136" t="s">
        <v>178</v>
      </c>
      <c r="C26" s="136" t="s">
        <v>175</v>
      </c>
      <c r="D26" s="558">
        <v>70536.73</v>
      </c>
      <c r="E26" s="23"/>
      <c r="F26" s="23"/>
      <c r="G26" s="33"/>
    </row>
    <row r="27" spans="1:7" ht="15.75">
      <c r="A27" s="137">
        <f t="shared" ref="A27:A32" si="0">+A26+1</f>
        <v>8</v>
      </c>
      <c r="B27" s="138" t="s">
        <v>179</v>
      </c>
      <c r="C27" s="138" t="s">
        <v>176</v>
      </c>
      <c r="D27" s="558">
        <v>0</v>
      </c>
      <c r="E27" s="23"/>
      <c r="F27" s="23"/>
      <c r="G27" s="33"/>
    </row>
    <row r="28" spans="1:7" ht="15.75">
      <c r="A28" s="32">
        <f t="shared" si="0"/>
        <v>9</v>
      </c>
      <c r="B28" s="136" t="s">
        <v>180</v>
      </c>
      <c r="C28" s="136" t="s">
        <v>184</v>
      </c>
      <c r="D28" s="558">
        <v>0</v>
      </c>
      <c r="E28" s="23"/>
      <c r="F28" s="23"/>
      <c r="G28" s="33"/>
    </row>
    <row r="29" spans="1:7" ht="15.75">
      <c r="A29" s="137">
        <f t="shared" si="0"/>
        <v>10</v>
      </c>
      <c r="B29" s="138" t="s">
        <v>181</v>
      </c>
      <c r="C29" s="138" t="s">
        <v>187</v>
      </c>
      <c r="D29" s="558">
        <v>11016.210000000001</v>
      </c>
      <c r="E29" s="23"/>
      <c r="F29" s="23"/>
      <c r="G29" s="33"/>
    </row>
    <row r="30" spans="1:7" ht="15.75">
      <c r="A30" s="32">
        <f t="shared" si="0"/>
        <v>11</v>
      </c>
      <c r="B30" s="136" t="s">
        <v>182</v>
      </c>
      <c r="C30" s="136" t="s">
        <v>188</v>
      </c>
      <c r="D30" s="558">
        <v>0</v>
      </c>
      <c r="E30" s="23"/>
      <c r="F30" s="23"/>
      <c r="G30" s="33"/>
    </row>
    <row r="31" spans="1:7" ht="15.75">
      <c r="A31" s="137">
        <f t="shared" si="0"/>
        <v>12</v>
      </c>
      <c r="B31" s="138" t="s">
        <v>183</v>
      </c>
      <c r="C31" s="138" t="s">
        <v>189</v>
      </c>
      <c r="D31" s="558">
        <v>0</v>
      </c>
      <c r="E31" s="23"/>
      <c r="F31" s="23"/>
      <c r="G31" s="33"/>
    </row>
    <row r="32" spans="1:7" ht="15.75">
      <c r="A32" s="32">
        <f t="shared" si="0"/>
        <v>13</v>
      </c>
      <c r="B32" s="136" t="s">
        <v>185</v>
      </c>
      <c r="C32" s="136" t="s">
        <v>190</v>
      </c>
      <c r="D32" s="558">
        <v>0</v>
      </c>
      <c r="E32" s="23"/>
      <c r="F32" s="23"/>
      <c r="G32" s="33"/>
    </row>
    <row r="33" spans="1:19" ht="15.75">
      <c r="A33" s="137">
        <f>+A32+1</f>
        <v>14</v>
      </c>
      <c r="B33" s="138"/>
      <c r="C33" s="19" t="s">
        <v>186</v>
      </c>
      <c r="D33" s="41">
        <f>SUM(D24:D32)</f>
        <v>81552.94</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65" t="s">
        <v>811</v>
      </c>
      <c r="C36" s="559" t="s">
        <v>812</v>
      </c>
      <c r="D36" s="558">
        <v>40.17</v>
      </c>
      <c r="E36" s="23">
        <f t="shared" ref="E36:E41" si="1">+D36</f>
        <v>40.17</v>
      </c>
      <c r="F36" s="23">
        <v>0</v>
      </c>
      <c r="G36" s="22"/>
    </row>
    <row r="37" spans="1:19">
      <c r="A37" s="32">
        <f>+A36+1</f>
        <v>16</v>
      </c>
      <c r="B37" s="965" t="s">
        <v>813</v>
      </c>
      <c r="C37" s="559" t="s">
        <v>814</v>
      </c>
      <c r="D37" s="558">
        <v>0.65</v>
      </c>
      <c r="E37" s="23">
        <f t="shared" si="1"/>
        <v>0.65</v>
      </c>
      <c r="F37" s="23">
        <v>0</v>
      </c>
      <c r="G37" s="22"/>
    </row>
    <row r="38" spans="1:19">
      <c r="A38" s="32">
        <f>+A37+1</f>
        <v>17</v>
      </c>
      <c r="B38" s="965" t="s">
        <v>815</v>
      </c>
      <c r="C38" s="559" t="s">
        <v>816</v>
      </c>
      <c r="D38" s="558">
        <v>505.90000000000003</v>
      </c>
      <c r="E38" s="23">
        <f t="shared" si="1"/>
        <v>505.90000000000003</v>
      </c>
      <c r="F38" s="23">
        <v>0</v>
      </c>
      <c r="G38" s="22"/>
    </row>
    <row r="39" spans="1:19">
      <c r="A39" s="32">
        <f>+A38+1</f>
        <v>18</v>
      </c>
      <c r="B39" s="965" t="s">
        <v>817</v>
      </c>
      <c r="C39" s="559" t="s">
        <v>818</v>
      </c>
      <c r="D39" s="558">
        <v>4016.54</v>
      </c>
      <c r="E39" s="23">
        <v>0</v>
      </c>
      <c r="F39" s="23">
        <f>D39</f>
        <v>4016.54</v>
      </c>
      <c r="G39" s="50"/>
    </row>
    <row r="40" spans="1:19">
      <c r="A40" s="32">
        <f>+A39+1</f>
        <v>19</v>
      </c>
      <c r="B40" s="965"/>
      <c r="C40" s="559"/>
      <c r="D40" s="558"/>
      <c r="E40" s="23">
        <f t="shared" si="1"/>
        <v>0</v>
      </c>
      <c r="F40" s="23">
        <v>0</v>
      </c>
      <c r="G40" s="50"/>
    </row>
    <row r="41" spans="1:19">
      <c r="A41" s="32">
        <f>+A40+1</f>
        <v>20</v>
      </c>
      <c r="B41" s="965"/>
      <c r="C41" s="559"/>
      <c r="D41" s="558"/>
      <c r="E41" s="23">
        <f t="shared" si="1"/>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48" t="s">
        <v>630</v>
      </c>
      <c r="D44" s="41">
        <f>SUM(D36:D42)</f>
        <v>4563.26</v>
      </c>
      <c r="E44" s="41">
        <f>SUM(E36:E42)</f>
        <v>546.72</v>
      </c>
      <c r="F44" s="41">
        <f>SUM(F36:F42)</f>
        <v>4016.54</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65" t="s">
        <v>819</v>
      </c>
      <c r="C47" s="559" t="s">
        <v>820</v>
      </c>
      <c r="D47" s="560">
        <v>0</v>
      </c>
      <c r="E47" s="23">
        <f>+D47</f>
        <v>0</v>
      </c>
      <c r="F47" s="23">
        <v>0</v>
      </c>
      <c r="G47"/>
      <c r="M47" s="12"/>
      <c r="N47" s="44"/>
      <c r="O47" s="45"/>
      <c r="P47" s="45"/>
      <c r="Q47" s="45"/>
      <c r="R47" s="45"/>
      <c r="S47" s="14"/>
    </row>
    <row r="48" spans="1:19">
      <c r="A48" s="32">
        <f>+A47+1</f>
        <v>23</v>
      </c>
      <c r="B48" s="965" t="s">
        <v>821</v>
      </c>
      <c r="C48" s="559" t="s">
        <v>822</v>
      </c>
      <c r="D48" s="560">
        <v>10.11</v>
      </c>
      <c r="E48" s="23">
        <f t="shared" ref="E48:E62" si="2">+D48</f>
        <v>10.11</v>
      </c>
      <c r="F48" s="23">
        <v>0</v>
      </c>
      <c r="G48"/>
      <c r="M48" s="12"/>
      <c r="N48" s="44"/>
      <c r="O48" s="45"/>
      <c r="P48" s="45"/>
      <c r="Q48" s="45"/>
      <c r="R48" s="45"/>
      <c r="S48" s="14"/>
    </row>
    <row r="49" spans="1:19">
      <c r="A49" s="32">
        <f t="shared" ref="A49:A62" si="3">+A48+1</f>
        <v>24</v>
      </c>
      <c r="B49" s="965" t="s">
        <v>823</v>
      </c>
      <c r="C49" s="559" t="s">
        <v>824</v>
      </c>
      <c r="D49" s="560">
        <v>0</v>
      </c>
      <c r="E49" s="23">
        <f t="shared" si="2"/>
        <v>0</v>
      </c>
      <c r="F49" s="23">
        <v>0</v>
      </c>
      <c r="G49"/>
      <c r="M49" s="12"/>
      <c r="N49" s="44"/>
      <c r="O49" s="45"/>
      <c r="P49" s="45"/>
      <c r="Q49" s="45"/>
      <c r="R49" s="45"/>
      <c r="S49" s="14"/>
    </row>
    <row r="50" spans="1:19">
      <c r="A50" s="32">
        <f t="shared" si="3"/>
        <v>25</v>
      </c>
      <c r="B50" s="965" t="s">
        <v>825</v>
      </c>
      <c r="C50" s="559" t="s">
        <v>826</v>
      </c>
      <c r="D50" s="560">
        <v>0.11</v>
      </c>
      <c r="E50" s="23">
        <f t="shared" si="2"/>
        <v>0.11</v>
      </c>
      <c r="F50" s="23">
        <v>0</v>
      </c>
      <c r="G50"/>
      <c r="M50" s="12"/>
      <c r="N50" s="44"/>
      <c r="O50" s="45"/>
      <c r="P50" s="45"/>
      <c r="Q50" s="45"/>
      <c r="R50" s="45"/>
      <c r="S50" s="14"/>
    </row>
    <row r="51" spans="1:19">
      <c r="A51" s="32">
        <f t="shared" si="3"/>
        <v>26</v>
      </c>
      <c r="B51" s="965" t="s">
        <v>939</v>
      </c>
      <c r="C51" s="559" t="s">
        <v>940</v>
      </c>
      <c r="D51" s="560">
        <v>0</v>
      </c>
      <c r="E51" s="23">
        <f t="shared" si="2"/>
        <v>0</v>
      </c>
      <c r="F51" s="23"/>
      <c r="G51"/>
      <c r="M51" s="12"/>
      <c r="N51" s="44"/>
      <c r="O51" s="45"/>
      <c r="P51" s="45"/>
      <c r="Q51" s="45"/>
      <c r="R51" s="45"/>
      <c r="S51" s="14"/>
    </row>
    <row r="52" spans="1:19">
      <c r="A52" s="32">
        <f t="shared" si="3"/>
        <v>27</v>
      </c>
      <c r="B52" s="965" t="s">
        <v>827</v>
      </c>
      <c r="C52" s="559" t="s">
        <v>828</v>
      </c>
      <c r="D52" s="560">
        <v>0</v>
      </c>
      <c r="E52" s="23">
        <f t="shared" si="2"/>
        <v>0</v>
      </c>
      <c r="F52" s="23">
        <v>0</v>
      </c>
      <c r="G52"/>
      <c r="M52" s="12"/>
      <c r="N52" s="44"/>
      <c r="O52" s="45"/>
      <c r="P52" s="45"/>
      <c r="Q52" s="45"/>
      <c r="R52" s="45"/>
      <c r="S52" s="14"/>
    </row>
    <row r="53" spans="1:19">
      <c r="A53" s="32">
        <f t="shared" si="3"/>
        <v>28</v>
      </c>
      <c r="B53" s="965"/>
      <c r="C53" s="559"/>
      <c r="D53" s="560"/>
      <c r="E53" s="23">
        <f t="shared" si="2"/>
        <v>0</v>
      </c>
      <c r="F53" s="23">
        <v>0</v>
      </c>
      <c r="G53"/>
      <c r="M53" s="12"/>
      <c r="N53" s="44"/>
      <c r="O53" s="45"/>
      <c r="P53" s="45"/>
      <c r="Q53" s="45"/>
      <c r="R53" s="45"/>
      <c r="S53" s="14"/>
    </row>
    <row r="54" spans="1:19">
      <c r="A54" s="32">
        <f t="shared" si="3"/>
        <v>29</v>
      </c>
      <c r="B54" s="965"/>
      <c r="C54" s="559"/>
      <c r="D54" s="560"/>
      <c r="E54" s="23">
        <f t="shared" si="2"/>
        <v>0</v>
      </c>
      <c r="F54" s="23">
        <v>0</v>
      </c>
      <c r="G54"/>
      <c r="M54" s="12"/>
      <c r="N54" s="44"/>
      <c r="O54" s="45"/>
      <c r="P54" s="45"/>
      <c r="Q54" s="45"/>
      <c r="R54" s="45"/>
      <c r="S54" s="14"/>
    </row>
    <row r="55" spans="1:19">
      <c r="A55" s="32">
        <f t="shared" si="3"/>
        <v>30</v>
      </c>
      <c r="B55" s="965"/>
      <c r="C55" s="559"/>
      <c r="D55" s="560"/>
      <c r="E55" s="23">
        <f t="shared" si="2"/>
        <v>0</v>
      </c>
      <c r="F55" s="23">
        <v>0</v>
      </c>
      <c r="G55"/>
      <c r="M55" s="12"/>
      <c r="N55" s="44"/>
      <c r="O55" s="45"/>
      <c r="P55" s="45"/>
      <c r="Q55" s="45"/>
      <c r="R55" s="45"/>
      <c r="S55" s="14"/>
    </row>
    <row r="56" spans="1:19">
      <c r="A56" s="32">
        <f t="shared" si="3"/>
        <v>31</v>
      </c>
      <c r="B56" s="965"/>
      <c r="C56" s="559"/>
      <c r="D56" s="560"/>
      <c r="E56" s="23">
        <f t="shared" si="2"/>
        <v>0</v>
      </c>
      <c r="F56" s="23">
        <v>0</v>
      </c>
      <c r="G56"/>
      <c r="M56" s="12"/>
      <c r="N56" s="44"/>
      <c r="O56" s="45"/>
      <c r="P56" s="45"/>
      <c r="Q56" s="45"/>
      <c r="R56" s="45"/>
      <c r="S56" s="14"/>
    </row>
    <row r="57" spans="1:19">
      <c r="A57" s="32">
        <f t="shared" si="3"/>
        <v>32</v>
      </c>
      <c r="B57" s="965"/>
      <c r="C57" s="559"/>
      <c r="D57" s="560"/>
      <c r="E57" s="23">
        <f t="shared" si="2"/>
        <v>0</v>
      </c>
      <c r="F57" s="29">
        <v>0</v>
      </c>
      <c r="G57"/>
      <c r="M57" s="12"/>
      <c r="N57" s="44"/>
      <c r="O57" s="45"/>
      <c r="P57" s="45"/>
      <c r="Q57" s="45"/>
      <c r="R57" s="45"/>
      <c r="S57" s="14"/>
    </row>
    <row r="58" spans="1:19">
      <c r="A58" s="32">
        <f t="shared" si="3"/>
        <v>33</v>
      </c>
      <c r="B58" s="965"/>
      <c r="C58" s="559"/>
      <c r="D58" s="560"/>
      <c r="E58" s="23">
        <f t="shared" si="2"/>
        <v>0</v>
      </c>
      <c r="F58" s="29">
        <v>0</v>
      </c>
      <c r="G58"/>
    </row>
    <row r="59" spans="1:19">
      <c r="A59" s="32">
        <f t="shared" si="3"/>
        <v>34</v>
      </c>
      <c r="B59" s="965"/>
      <c r="C59" s="559"/>
      <c r="D59" s="560"/>
      <c r="E59" s="23">
        <f t="shared" si="2"/>
        <v>0</v>
      </c>
      <c r="F59" s="29">
        <v>0</v>
      </c>
      <c r="G59" s="25"/>
    </row>
    <row r="60" spans="1:19">
      <c r="A60" s="32">
        <f t="shared" si="3"/>
        <v>35</v>
      </c>
      <c r="B60" s="965"/>
      <c r="C60" s="559"/>
      <c r="D60" s="560"/>
      <c r="E60" s="23">
        <f t="shared" si="2"/>
        <v>0</v>
      </c>
      <c r="F60" s="29">
        <v>0</v>
      </c>
      <c r="G60" s="25"/>
    </row>
    <row r="61" spans="1:19">
      <c r="A61" s="32">
        <f t="shared" si="3"/>
        <v>36</v>
      </c>
      <c r="B61" s="965"/>
      <c r="C61" s="559"/>
      <c r="D61" s="560"/>
      <c r="E61" s="23">
        <f t="shared" si="2"/>
        <v>0</v>
      </c>
      <c r="F61" s="29">
        <v>0</v>
      </c>
      <c r="G61" s="25"/>
    </row>
    <row r="62" spans="1:19">
      <c r="A62" s="32">
        <f t="shared" si="3"/>
        <v>37</v>
      </c>
      <c r="B62" s="965"/>
      <c r="C62" s="559"/>
      <c r="D62" s="560"/>
      <c r="E62" s="23">
        <f t="shared" si="2"/>
        <v>0</v>
      </c>
      <c r="F62" s="29">
        <v>0</v>
      </c>
      <c r="G62" s="25"/>
    </row>
    <row r="63" spans="1:19">
      <c r="A63" s="32"/>
      <c r="B63" s="24"/>
      <c r="C63" s="25"/>
      <c r="D63" s="34"/>
      <c r="E63" s="35"/>
      <c r="F63" s="34"/>
      <c r="G63" s="25"/>
    </row>
    <row r="64" spans="1:19" ht="15.75">
      <c r="A64" s="32">
        <f>+A62+1</f>
        <v>38</v>
      </c>
      <c r="B64" s="30"/>
      <c r="C64" s="1248" t="s">
        <v>631</v>
      </c>
      <c r="D64" s="36">
        <f>SUM(D47:D63)</f>
        <v>10.219999999999999</v>
      </c>
      <c r="E64" s="36">
        <f>SUM(E47:E63)</f>
        <v>10.219999999999999</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965" t="s">
        <v>829</v>
      </c>
      <c r="C67" s="559" t="s">
        <v>830</v>
      </c>
      <c r="D67" s="560">
        <v>3574.56</v>
      </c>
      <c r="E67" s="23">
        <f>D67</f>
        <v>3574.56</v>
      </c>
      <c r="F67" s="29">
        <v>0</v>
      </c>
      <c r="G67" s="12"/>
      <c r="H67" s="44"/>
      <c r="J67" s="14"/>
      <c r="K67" s="14"/>
    </row>
    <row r="68" spans="1:11">
      <c r="A68" s="32">
        <f>+A67+1</f>
        <v>40</v>
      </c>
      <c r="B68" s="965" t="s">
        <v>831</v>
      </c>
      <c r="C68" s="559" t="s">
        <v>832</v>
      </c>
      <c r="D68" s="560">
        <v>3060.2400000000002</v>
      </c>
      <c r="E68" s="23">
        <f>D68</f>
        <v>3060.2400000000002</v>
      </c>
      <c r="F68" s="29">
        <v>0</v>
      </c>
      <c r="G68" s="12"/>
      <c r="H68" s="44"/>
      <c r="J68" s="14"/>
      <c r="K68" s="14"/>
    </row>
    <row r="69" spans="1:11">
      <c r="A69" s="32">
        <f>+A66+1</f>
        <v>1</v>
      </c>
      <c r="B69" s="1430" t="s">
        <v>1025</v>
      </c>
      <c r="C69" s="559" t="s">
        <v>1024</v>
      </c>
      <c r="D69" s="560">
        <v>21.63</v>
      </c>
      <c r="E69" s="23">
        <f>D69</f>
        <v>21.63</v>
      </c>
      <c r="F69" s="29">
        <v>0</v>
      </c>
      <c r="G69" s="12"/>
      <c r="H69" s="44"/>
      <c r="J69" s="14"/>
      <c r="K69" s="14"/>
    </row>
    <row r="70" spans="1:11">
      <c r="A70" s="32">
        <f>+A69+1</f>
        <v>2</v>
      </c>
      <c r="B70" s="965" t="s">
        <v>833</v>
      </c>
      <c r="C70" s="559" t="s">
        <v>834</v>
      </c>
      <c r="D70" s="560">
        <v>5.8100000000000005</v>
      </c>
      <c r="E70" s="23">
        <v>0</v>
      </c>
      <c r="F70" s="29">
        <f>D70</f>
        <v>5.8100000000000005</v>
      </c>
      <c r="G70" s="12"/>
      <c r="H70" s="44"/>
      <c r="J70" s="14"/>
      <c r="K70" s="14"/>
    </row>
    <row r="71" spans="1:11">
      <c r="A71" s="32">
        <f>+A70+1</f>
        <v>3</v>
      </c>
      <c r="B71" s="965"/>
      <c r="C71" s="559"/>
      <c r="D71" s="560"/>
      <c r="E71" s="23">
        <v>0</v>
      </c>
      <c r="F71" s="29">
        <f>D71</f>
        <v>0</v>
      </c>
      <c r="G71" s="20"/>
    </row>
    <row r="72" spans="1:11">
      <c r="A72" s="32"/>
      <c r="B72" s="20"/>
      <c r="C72" s="20"/>
      <c r="D72" s="20"/>
      <c r="E72" s="20"/>
      <c r="F72" s="20"/>
      <c r="G72" s="20"/>
    </row>
    <row r="73" spans="1:11" ht="15.75">
      <c r="A73" s="32">
        <f>+A71+1</f>
        <v>4</v>
      </c>
      <c r="B73" s="20"/>
      <c r="C73" s="1248" t="s">
        <v>632</v>
      </c>
      <c r="D73" s="36">
        <f>SUM(D67:D72)</f>
        <v>6662.2400000000007</v>
      </c>
      <c r="E73" s="36">
        <f>SUM(E67:E72)</f>
        <v>6656.43</v>
      </c>
      <c r="F73" s="36">
        <f>SUM(F67:F72)</f>
        <v>5.8100000000000005</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topLeftCell="A3" zoomScaleNormal="100" workbookViewId="0">
      <selection activeCell="A4" sqref="D4"/>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4" t="s">
        <v>408</v>
      </c>
    </row>
    <row r="2" spans="1:15" ht="15.75">
      <c r="A2" s="1004" t="s">
        <v>408</v>
      </c>
    </row>
    <row r="3" spans="1:15" ht="15">
      <c r="A3" s="1464" t="str">
        <f>TCOS!$F$5</f>
        <v>AEPTCo subsidiaries in PJM</v>
      </c>
      <c r="B3" s="1464" t="str">
        <f>TCOS!$F$5</f>
        <v>AEPTCo subsidiaries in PJM</v>
      </c>
      <c r="C3" s="1464" t="str">
        <f>TCOS!$F$5</f>
        <v>AEPTCo subsidiaries in PJM</v>
      </c>
      <c r="D3" s="1464" t="str">
        <f>TCOS!$F$5</f>
        <v>AEPTCo subsidiaries in PJM</v>
      </c>
      <c r="E3" s="1464" t="str">
        <f>TCOS!$F$5</f>
        <v>AEPTCo subsidiaries in PJM</v>
      </c>
      <c r="F3" s="1464" t="str">
        <f>TCOS!$F$5</f>
        <v>AEPTCo subsidiaries in PJM</v>
      </c>
      <c r="G3" s="1464" t="str">
        <f>TCOS!$F$5</f>
        <v>AEPTCo subsidiaries in PJM</v>
      </c>
      <c r="H3" s="1464" t="str">
        <f>TCOS!$F$5</f>
        <v>AEPTCo subsidiaries in PJM</v>
      </c>
    </row>
    <row r="4" spans="1:15" ht="15">
      <c r="A4" s="1494" t="str">
        <f>"Cost of Service Formula Rate Using Actual/Projected FF1 Balances"</f>
        <v>Cost of Service Formula Rate Using Actual/Projected FF1 Balances</v>
      </c>
      <c r="B4" s="1494"/>
      <c r="C4" s="1494"/>
      <c r="D4" s="1494"/>
      <c r="E4" s="1494"/>
      <c r="F4" s="1494"/>
      <c r="G4" s="1494"/>
      <c r="H4" s="1494"/>
    </row>
    <row r="5" spans="1:15" ht="15">
      <c r="A5" s="1494" t="s">
        <v>328</v>
      </c>
      <c r="B5" s="1494"/>
      <c r="C5" s="1494"/>
      <c r="D5" s="1494"/>
      <c r="E5" s="1494"/>
      <c r="F5" s="1494"/>
      <c r="G5" s="1494"/>
      <c r="H5" s="1494"/>
    </row>
    <row r="6" spans="1:15" ht="15">
      <c r="A6" s="1495" t="str">
        <f>TCOS!F9</f>
        <v>AEP Appalachian Transmission Company</v>
      </c>
      <c r="B6" s="1495"/>
      <c r="C6" s="1495"/>
      <c r="D6" s="1495"/>
      <c r="E6" s="1495"/>
      <c r="F6" s="1495"/>
      <c r="G6" s="1495"/>
    </row>
    <row r="7" spans="1:15" ht="12.75" customHeight="1">
      <c r="A7" s="561"/>
      <c r="B7" s="562"/>
      <c r="C7" s="562"/>
      <c r="D7" s="562"/>
      <c r="E7" s="562"/>
      <c r="F7" s="562"/>
      <c r="G7" s="562"/>
      <c r="H7" s="562"/>
      <c r="I7" s="562"/>
      <c r="J7" s="562"/>
      <c r="O7" s="563"/>
    </row>
    <row r="8" spans="1:15" ht="12.75" customHeight="1">
      <c r="A8" s="561"/>
      <c r="B8" s="420"/>
      <c r="C8" s="394"/>
      <c r="D8" s="394"/>
      <c r="E8" s="394"/>
      <c r="F8" s="394"/>
    </row>
    <row r="9" spans="1:15" ht="15">
      <c r="A9" s="564">
        <v>1</v>
      </c>
      <c r="B9" s="575" t="s">
        <v>804</v>
      </c>
      <c r="C9" s="566"/>
      <c r="D9" s="567"/>
      <c r="E9" s="573">
        <v>6.5000000000000002E-2</v>
      </c>
      <c r="F9" s="394"/>
      <c r="G9" s="568"/>
      <c r="H9" s="568"/>
      <c r="L9" s="569"/>
    </row>
    <row r="10" spans="1:15" ht="15">
      <c r="A10" s="569"/>
      <c r="B10" s="565" t="s">
        <v>618</v>
      </c>
      <c r="C10" s="566"/>
      <c r="D10" s="566"/>
      <c r="E10" s="574">
        <v>0.99819999999999998</v>
      </c>
      <c r="F10" s="394"/>
      <c r="G10" s="568"/>
      <c r="H10" s="568"/>
      <c r="L10" s="569"/>
    </row>
    <row r="11" spans="1:15" ht="15">
      <c r="A11" s="569"/>
      <c r="B11" s="565" t="s">
        <v>228</v>
      </c>
      <c r="C11" s="566"/>
      <c r="D11" s="566"/>
      <c r="E11" s="393"/>
      <c r="F11" s="570">
        <f>ROUND(E9*E10,6)</f>
        <v>6.4882999999999996E-2</v>
      </c>
      <c r="G11" s="568"/>
      <c r="L11" s="569"/>
    </row>
    <row r="12" spans="1:15" ht="15">
      <c r="A12" s="569"/>
      <c r="B12" s="565"/>
      <c r="C12" s="566"/>
      <c r="D12" s="566"/>
      <c r="E12" s="393"/>
      <c r="F12" s="570"/>
      <c r="G12" s="568"/>
      <c r="L12" s="569"/>
    </row>
    <row r="13" spans="1:15" ht="15">
      <c r="A13" s="569">
        <f>A9+1</f>
        <v>2</v>
      </c>
      <c r="B13" s="575" t="s">
        <v>805</v>
      </c>
      <c r="C13" s="566"/>
      <c r="D13" s="567"/>
      <c r="E13" s="573">
        <v>0.06</v>
      </c>
      <c r="F13" s="394"/>
      <c r="G13" s="568"/>
      <c r="L13" s="569"/>
    </row>
    <row r="14" spans="1:15" ht="15">
      <c r="A14" s="569"/>
      <c r="B14" s="565" t="s">
        <v>618</v>
      </c>
      <c r="C14" s="566"/>
      <c r="D14" s="566"/>
      <c r="E14" s="574">
        <v>3.5999999999999999E-3</v>
      </c>
      <c r="F14" s="394"/>
      <c r="G14" s="568"/>
      <c r="L14" s="569"/>
    </row>
    <row r="15" spans="1:15" ht="15">
      <c r="A15" s="569"/>
      <c r="B15" s="565" t="s">
        <v>228</v>
      </c>
      <c r="C15" s="566"/>
      <c r="D15" s="566"/>
      <c r="E15" s="393"/>
      <c r="F15" s="570">
        <f>ROUND(E13*E14,6)</f>
        <v>2.1599999999999999E-4</v>
      </c>
      <c r="G15" s="568"/>
      <c r="L15" s="569"/>
    </row>
    <row r="16" spans="1:15" ht="15">
      <c r="A16" s="569"/>
      <c r="B16" s="565"/>
      <c r="C16" s="566"/>
      <c r="D16" s="566"/>
      <c r="E16" s="393"/>
      <c r="F16" s="570"/>
      <c r="G16" s="568"/>
      <c r="L16" s="569"/>
    </row>
    <row r="17" spans="1:12" ht="15">
      <c r="A17" s="569">
        <f>A13+1</f>
        <v>3</v>
      </c>
      <c r="B17" s="575" t="s">
        <v>105</v>
      </c>
      <c r="C17" s="566"/>
      <c r="D17" s="567"/>
      <c r="E17" s="573"/>
      <c r="F17" s="394"/>
      <c r="G17" s="568"/>
      <c r="L17" s="569"/>
    </row>
    <row r="18" spans="1:12" ht="15">
      <c r="A18" s="569"/>
      <c r="B18" s="565" t="s">
        <v>618</v>
      </c>
      <c r="C18" s="566"/>
      <c r="D18" s="566"/>
      <c r="E18" s="574"/>
      <c r="F18" s="394"/>
      <c r="G18" s="568"/>
      <c r="L18" s="569"/>
    </row>
    <row r="19" spans="1:12" ht="15">
      <c r="A19" s="569"/>
      <c r="B19" s="565" t="s">
        <v>228</v>
      </c>
      <c r="C19" s="566"/>
      <c r="D19" s="566"/>
      <c r="E19" s="393"/>
      <c r="F19" s="570">
        <f>ROUND(E17*E18,6)</f>
        <v>0</v>
      </c>
      <c r="G19" s="568"/>
      <c r="L19" s="569"/>
    </row>
    <row r="20" spans="1:12" ht="15">
      <c r="A20" s="569"/>
      <c r="B20" s="565"/>
      <c r="C20" s="566"/>
      <c r="D20" s="566"/>
      <c r="E20" s="393"/>
      <c r="F20" s="570"/>
      <c r="G20" s="568"/>
      <c r="L20" s="569"/>
    </row>
    <row r="21" spans="1:12" ht="15">
      <c r="A21" s="569">
        <f>A17+1</f>
        <v>4</v>
      </c>
      <c r="B21" s="575" t="s">
        <v>105</v>
      </c>
      <c r="C21" s="566"/>
      <c r="D21" s="567"/>
      <c r="E21" s="573"/>
      <c r="F21" s="394"/>
      <c r="G21" s="568"/>
      <c r="L21" s="569"/>
    </row>
    <row r="22" spans="1:12" ht="15">
      <c r="A22" s="569"/>
      <c r="B22" s="565" t="s">
        <v>618</v>
      </c>
      <c r="C22" s="566"/>
      <c r="D22" s="566"/>
      <c r="E22" s="574"/>
      <c r="F22" s="394"/>
      <c r="G22" s="568"/>
      <c r="L22" s="569"/>
    </row>
    <row r="23" spans="1:12" ht="15">
      <c r="A23" s="569"/>
      <c r="B23" s="565" t="s">
        <v>228</v>
      </c>
      <c r="C23" s="566"/>
      <c r="D23" s="566"/>
      <c r="E23" s="393"/>
      <c r="F23" s="570">
        <f>ROUND(E21*E22,6)</f>
        <v>0</v>
      </c>
      <c r="G23" s="568"/>
      <c r="L23" s="569"/>
    </row>
    <row r="24" spans="1:12" ht="15">
      <c r="A24" s="569"/>
      <c r="B24" s="565"/>
      <c r="C24" s="566"/>
      <c r="D24" s="566"/>
      <c r="E24" s="393"/>
      <c r="F24" s="570"/>
      <c r="G24" s="568"/>
      <c r="L24" s="569"/>
    </row>
    <row r="25" spans="1:12" ht="15">
      <c r="A25" s="569">
        <f>A21+1</f>
        <v>5</v>
      </c>
      <c r="B25" s="575" t="s">
        <v>105</v>
      </c>
      <c r="C25" s="566"/>
      <c r="D25" s="567"/>
      <c r="E25" s="573"/>
      <c r="F25" s="571"/>
      <c r="G25" s="568"/>
      <c r="L25" s="569"/>
    </row>
    <row r="26" spans="1:12" ht="15">
      <c r="A26" s="569"/>
      <c r="B26" s="565" t="s">
        <v>618</v>
      </c>
      <c r="C26" s="566"/>
      <c r="D26" s="566"/>
      <c r="E26" s="574"/>
      <c r="F26" s="571"/>
      <c r="G26" s="568"/>
      <c r="L26" s="569"/>
    </row>
    <row r="27" spans="1:12" ht="15">
      <c r="A27" s="569"/>
      <c r="B27" s="565" t="s">
        <v>228</v>
      </c>
      <c r="C27" s="566"/>
      <c r="D27" s="566"/>
      <c r="E27" s="393"/>
      <c r="F27" s="570">
        <f>ROUND(E25*E26,6)</f>
        <v>0</v>
      </c>
      <c r="G27" s="568"/>
      <c r="L27" s="569"/>
    </row>
    <row r="28" spans="1:12" ht="15">
      <c r="A28" s="569"/>
      <c r="B28" s="565"/>
      <c r="C28" s="566"/>
      <c r="D28" s="566"/>
      <c r="E28" s="566"/>
      <c r="F28" s="571"/>
      <c r="G28" s="568"/>
      <c r="L28" s="569"/>
    </row>
    <row r="29" spans="1:12" ht="15.75" thickBot="1">
      <c r="A29" s="569"/>
      <c r="B29" s="393" t="s">
        <v>487</v>
      </c>
      <c r="C29" s="393"/>
      <c r="D29" s="393"/>
      <c r="E29" s="393"/>
      <c r="F29" s="572">
        <f>SUM(F11:F27)</f>
        <v>6.509899999999999E-2</v>
      </c>
      <c r="G29" s="568"/>
      <c r="L29" s="569"/>
    </row>
    <row r="30" spans="1:12" ht="13.5" thickTop="1">
      <c r="A30" s="569"/>
      <c r="G30" s="392"/>
      <c r="L30" s="569"/>
    </row>
    <row r="31" spans="1:12">
      <c r="A31" s="569"/>
      <c r="G31" s="392"/>
      <c r="H31" s="392"/>
      <c r="L31" s="569"/>
    </row>
    <row r="32" spans="1:12">
      <c r="A32" s="569"/>
      <c r="G32" s="392"/>
      <c r="H32" s="392"/>
      <c r="L32" s="569"/>
    </row>
    <row r="33" spans="1:12" ht="12.75" customHeight="1">
      <c r="A33" s="569"/>
      <c r="C33" s="393"/>
      <c r="D33" s="393"/>
      <c r="E33" s="393"/>
      <c r="F33" s="393"/>
      <c r="G33" s="392"/>
      <c r="H33" s="392"/>
      <c r="L33" s="569"/>
    </row>
    <row r="34" spans="1:12">
      <c r="A34" s="348" t="s">
        <v>287</v>
      </c>
      <c r="B34" s="348" t="s">
        <v>192</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topLeftCell="A3" zoomScale="80" zoomScaleNormal="80" zoomScalePageLayoutView="50" workbookViewId="0">
      <selection activeCell="A4" sqref="D4"/>
    </sheetView>
  </sheetViews>
  <sheetFormatPr defaultRowHeight="15"/>
  <cols>
    <col min="1" max="1" width="7.28515625" style="642" customWidth="1"/>
    <col min="2" max="2" width="1.7109375" style="581" customWidth="1"/>
    <col min="3" max="3" width="62.42578125" style="581" customWidth="1"/>
    <col min="4" max="4" width="11" style="581" customWidth="1"/>
    <col min="5" max="5" width="20.42578125" style="643" customWidth="1"/>
    <col min="6" max="6" width="1.7109375" style="576" customWidth="1"/>
    <col min="7" max="7" width="20" style="576" bestFit="1" customWidth="1"/>
    <col min="8" max="8" width="1.7109375" style="576" customWidth="1"/>
    <col min="9" max="9" width="21.42578125" style="576" customWidth="1"/>
    <col min="10" max="10" width="1.7109375" style="576" customWidth="1"/>
    <col min="11" max="11" width="17.7109375" style="576" bestFit="1" customWidth="1"/>
    <col min="12" max="12" width="3.42578125" style="576" customWidth="1"/>
    <col min="13" max="13" width="22.5703125" style="576" customWidth="1"/>
    <col min="14" max="14" width="1.28515625" style="576" customWidth="1"/>
    <col min="15" max="15" width="22.140625" style="577" customWidth="1"/>
    <col min="16" max="16384" width="9.140625" style="576"/>
  </cols>
  <sheetData>
    <row r="1" spans="1:29" ht="15.75">
      <c r="A1" s="1004" t="s">
        <v>408</v>
      </c>
    </row>
    <row r="2" spans="1:29" ht="15.75">
      <c r="A2" s="1004" t="s">
        <v>408</v>
      </c>
    </row>
    <row r="3" spans="1:29" ht="18.75" customHeight="1">
      <c r="A3" s="1464" t="str">
        <f>TCOS!$F$5</f>
        <v>AEPTCo subsidiaries in PJM</v>
      </c>
      <c r="B3" s="1464" t="str">
        <f>TCOS!$F$5</f>
        <v>AEPTCo subsidiaries in PJM</v>
      </c>
      <c r="C3" s="1464" t="str">
        <f>TCOS!$F$5</f>
        <v>AEPTCo subsidiaries in PJM</v>
      </c>
      <c r="D3" s="1464" t="str">
        <f>TCOS!$F$5</f>
        <v>AEPTCo subsidiaries in PJM</v>
      </c>
      <c r="E3" s="1464" t="str">
        <f>TCOS!$F$5</f>
        <v>AEPTCo subsidiaries in PJM</v>
      </c>
      <c r="F3" s="1464" t="str">
        <f>TCOS!$F$5</f>
        <v>AEPTCo subsidiaries in PJM</v>
      </c>
      <c r="G3" s="1464" t="str">
        <f>TCOS!$F$5</f>
        <v>AEPTCo subsidiaries in PJM</v>
      </c>
      <c r="H3" s="1464" t="str">
        <f>TCOS!$F$5</f>
        <v>AEPTCo subsidiaries in PJM</v>
      </c>
      <c r="I3" s="1464" t="str">
        <f>TCOS!$F$5</f>
        <v>AEPTCo subsidiaries in PJM</v>
      </c>
      <c r="J3" s="1464" t="str">
        <f>TCOS!$F$5</f>
        <v>AEPTCo subsidiaries in PJM</v>
      </c>
      <c r="K3" s="1464" t="str">
        <f>TCOS!$F$5</f>
        <v>AEPTCo subsidiaries in PJM</v>
      </c>
      <c r="L3" s="1464" t="str">
        <f>TCOS!$F$5</f>
        <v>AEPTCo subsidiaries in PJM</v>
      </c>
      <c r="M3" s="1464" t="str">
        <f>TCOS!$F$5</f>
        <v>AEPTCo subsidiaries in PJM</v>
      </c>
    </row>
    <row r="4" spans="1:29" ht="18.75" customHeight="1">
      <c r="A4" s="1494" t="str">
        <f>"Cost of Service Formula Rate Using Actual/Projected FF1 Balances"</f>
        <v>Cost of Service Formula Rate Using Actual/Projected FF1 Balances</v>
      </c>
      <c r="B4" s="1494"/>
      <c r="C4" s="1494"/>
      <c r="D4" s="1494"/>
      <c r="E4" s="1494"/>
      <c r="F4" s="1494"/>
      <c r="G4" s="1494"/>
      <c r="H4" s="1494"/>
      <c r="I4" s="1494"/>
      <c r="J4" s="1494"/>
      <c r="K4" s="1494"/>
      <c r="L4" s="1494"/>
      <c r="M4" s="1494"/>
    </row>
    <row r="5" spans="1:29" ht="18.75" customHeight="1">
      <c r="A5" s="1494" t="s">
        <v>247</v>
      </c>
      <c r="B5" s="1494"/>
      <c r="C5" s="1494"/>
      <c r="D5" s="1494"/>
      <c r="E5" s="1494"/>
      <c r="F5" s="1494"/>
      <c r="G5" s="1494"/>
      <c r="H5" s="1494"/>
      <c r="I5" s="1494"/>
      <c r="J5" s="1494"/>
      <c r="K5" s="1494"/>
      <c r="L5" s="1494"/>
      <c r="M5" s="1494"/>
    </row>
    <row r="6" spans="1:29" ht="18.75" customHeight="1">
      <c r="A6" s="1508" t="str">
        <f>TCOS!F9</f>
        <v>AEP Appalachian Transmission Company</v>
      </c>
      <c r="B6" s="1508"/>
      <c r="C6" s="1508"/>
      <c r="D6" s="1508"/>
      <c r="E6" s="1508"/>
      <c r="F6" s="1508"/>
      <c r="G6" s="1508"/>
      <c r="H6" s="1508"/>
      <c r="I6" s="1508"/>
      <c r="J6" s="1508"/>
      <c r="K6" s="1508"/>
      <c r="L6" s="1508"/>
      <c r="M6" s="1508"/>
    </row>
    <row r="7" spans="1:29" ht="18" customHeight="1">
      <c r="A7" s="1495"/>
      <c r="B7" s="1495"/>
      <c r="C7" s="1495"/>
      <c r="D7" s="1495"/>
      <c r="E7" s="1495"/>
      <c r="F7" s="1495"/>
      <c r="G7" s="1495"/>
      <c r="H7" s="1495"/>
      <c r="I7" s="1495"/>
      <c r="J7" s="1495"/>
      <c r="K7" s="1495"/>
      <c r="L7" s="1495"/>
      <c r="M7" s="1495"/>
    </row>
    <row r="8" spans="1:29" ht="18" customHeight="1">
      <c r="A8" s="1504"/>
      <c r="B8" s="1504"/>
      <c r="C8" s="1504"/>
      <c r="D8" s="1504"/>
      <c r="E8" s="1504"/>
      <c r="F8" s="1504"/>
      <c r="G8" s="1504"/>
      <c r="H8" s="1504"/>
      <c r="I8" s="1504"/>
      <c r="J8" s="1504"/>
      <c r="K8" s="1504"/>
      <c r="L8" s="1504"/>
      <c r="M8" s="1504"/>
    </row>
    <row r="9" spans="1:29" ht="18" customHeight="1">
      <c r="A9" s="519"/>
      <c r="B9" s="519"/>
      <c r="C9" s="519"/>
      <c r="D9" s="519"/>
      <c r="E9" s="519"/>
      <c r="F9" s="519"/>
      <c r="G9" s="519"/>
      <c r="H9" s="519"/>
      <c r="I9" s="519"/>
      <c r="J9" s="519"/>
      <c r="K9" s="519"/>
      <c r="L9" s="519"/>
      <c r="M9" s="519"/>
    </row>
    <row r="10" spans="1:29" ht="19.5" customHeight="1">
      <c r="A10" s="578"/>
      <c r="B10" s="579"/>
      <c r="C10" s="580" t="s">
        <v>454</v>
      </c>
      <c r="E10" s="580" t="s">
        <v>455</v>
      </c>
      <c r="G10" s="580" t="s">
        <v>456</v>
      </c>
      <c r="I10" s="580" t="s">
        <v>457</v>
      </c>
      <c r="K10" s="580" t="s">
        <v>377</v>
      </c>
      <c r="M10" s="580" t="s">
        <v>378</v>
      </c>
    </row>
    <row r="11" spans="1:29" ht="18">
      <c r="A11" s="582"/>
      <c r="B11" s="583"/>
      <c r="C11" s="583"/>
      <c r="D11" s="583"/>
      <c r="E11" s="173"/>
      <c r="F11" s="173"/>
      <c r="G11" s="173"/>
      <c r="H11" s="173"/>
      <c r="I11" s="173"/>
      <c r="J11" s="173"/>
      <c r="K11" s="173"/>
      <c r="L11" s="173"/>
      <c r="M11" s="173"/>
      <c r="Q11" s="420"/>
      <c r="R11" s="420"/>
      <c r="S11" s="420"/>
      <c r="T11" s="420"/>
      <c r="U11" s="420"/>
      <c r="V11" s="420"/>
      <c r="W11" s="420"/>
      <c r="X11" s="420"/>
      <c r="Y11" s="420"/>
      <c r="Z11" s="420"/>
      <c r="AA11" s="420"/>
      <c r="AB11" s="420"/>
      <c r="AC11" s="420"/>
    </row>
    <row r="12" spans="1:29" ht="19.5">
      <c r="A12" s="582" t="s">
        <v>461</v>
      </c>
      <c r="B12" s="583"/>
      <c r="C12" s="583"/>
      <c r="D12" s="583"/>
      <c r="E12" s="584" t="s">
        <v>412</v>
      </c>
      <c r="F12" s="582"/>
      <c r="G12" s="582"/>
      <c r="H12" s="582"/>
      <c r="I12" s="582"/>
      <c r="J12" s="582"/>
      <c r="K12" s="585"/>
      <c r="L12" s="585"/>
      <c r="M12" s="586"/>
    </row>
    <row r="13" spans="1:29" ht="19.5">
      <c r="A13" s="587" t="s">
        <v>411</v>
      </c>
      <c r="B13" s="583"/>
      <c r="C13" s="587" t="s">
        <v>102</v>
      </c>
      <c r="D13" s="583"/>
      <c r="E13" s="588" t="s">
        <v>475</v>
      </c>
      <c r="F13" s="582"/>
      <c r="G13" s="587" t="s">
        <v>106</v>
      </c>
      <c r="H13" s="582"/>
      <c r="I13" s="587" t="s">
        <v>453</v>
      </c>
      <c r="J13" s="582"/>
      <c r="K13" s="589" t="s">
        <v>473</v>
      </c>
      <c r="L13" s="590"/>
      <c r="M13" s="589" t="s">
        <v>107</v>
      </c>
    </row>
    <row r="14" spans="1:29" ht="19.5">
      <c r="A14" s="591"/>
      <c r="B14" s="579"/>
      <c r="C14" s="592"/>
      <c r="D14" s="592"/>
      <c r="E14" s="592" t="s">
        <v>325</v>
      </c>
      <c r="F14" s="592"/>
      <c r="G14" s="592"/>
      <c r="H14" s="592"/>
      <c r="I14" s="592"/>
      <c r="J14" s="592"/>
      <c r="K14" s="593"/>
      <c r="L14" s="593"/>
    </row>
    <row r="15" spans="1:29" ht="19.5">
      <c r="A15" s="578"/>
      <c r="B15" s="579"/>
      <c r="C15" s="579"/>
      <c r="D15" s="579"/>
      <c r="E15" s="594"/>
      <c r="F15" s="595"/>
      <c r="G15" s="595"/>
      <c r="H15" s="595"/>
      <c r="I15" s="596"/>
      <c r="J15" s="595"/>
      <c r="K15" s="593"/>
      <c r="L15" s="593"/>
    </row>
    <row r="16" spans="1:29" ht="19.5">
      <c r="A16" s="578">
        <v>1</v>
      </c>
      <c r="B16" s="579"/>
      <c r="C16" s="597" t="s">
        <v>118</v>
      </c>
      <c r="D16" s="579"/>
      <c r="E16" s="593"/>
      <c r="F16" s="593"/>
      <c r="G16" s="598"/>
      <c r="H16" s="598"/>
      <c r="I16" s="598"/>
      <c r="J16" s="598"/>
      <c r="K16" s="598"/>
      <c r="L16" s="598"/>
      <c r="M16" s="599"/>
    </row>
    <row r="17" spans="1:15" ht="19.5">
      <c r="A17" s="578">
        <f>+A16+1</f>
        <v>2</v>
      </c>
      <c r="B17" s="579"/>
      <c r="C17" s="595" t="s">
        <v>103</v>
      </c>
      <c r="D17" s="579"/>
      <c r="E17" s="600">
        <f>+'WS H-p2 Detail of Tax Amts'!E14</f>
        <v>0</v>
      </c>
      <c r="F17" s="593"/>
      <c r="G17" s="598"/>
      <c r="H17" s="598"/>
      <c r="I17" s="598"/>
      <c r="J17" s="598"/>
      <c r="K17" s="598"/>
      <c r="L17" s="598"/>
      <c r="M17" s="599">
        <f>+E17</f>
        <v>0</v>
      </c>
    </row>
    <row r="18" spans="1:15" ht="19.5">
      <c r="A18" s="578"/>
      <c r="B18" s="579"/>
      <c r="C18" s="585"/>
      <c r="D18" s="579"/>
      <c r="E18" s="601"/>
      <c r="F18" s="593"/>
      <c r="G18" s="598"/>
      <c r="H18" s="598"/>
      <c r="I18" s="598"/>
      <c r="J18" s="598"/>
      <c r="K18" s="598"/>
      <c r="L18" s="598"/>
      <c r="M18" s="599"/>
    </row>
    <row r="19" spans="1:15" ht="19.5">
      <c r="A19" s="578">
        <f>+A17+1</f>
        <v>3</v>
      </c>
      <c r="B19" s="579"/>
      <c r="C19" s="597" t="s">
        <v>119</v>
      </c>
      <c r="D19" s="579"/>
      <c r="E19" s="601"/>
      <c r="F19" s="593"/>
      <c r="G19" s="598"/>
      <c r="H19" s="598"/>
      <c r="I19" s="598"/>
      <c r="J19" s="598"/>
      <c r="K19" s="598"/>
      <c r="L19" s="598"/>
      <c r="M19" s="599"/>
    </row>
    <row r="20" spans="1:15" ht="19.5">
      <c r="A20" s="578">
        <f>+A19+1</f>
        <v>4</v>
      </c>
      <c r="B20" s="579"/>
      <c r="C20" s="595" t="s">
        <v>611</v>
      </c>
      <c r="D20" s="595"/>
      <c r="E20" s="600">
        <f>'WS H-p2 Detail of Tax Amts'!E23</f>
        <v>0</v>
      </c>
      <c r="F20" s="595"/>
      <c r="G20" s="598">
        <f>+E20</f>
        <v>0</v>
      </c>
      <c r="H20" s="598"/>
      <c r="I20" s="598"/>
      <c r="J20" s="598"/>
      <c r="K20" s="598"/>
      <c r="L20" s="598"/>
      <c r="M20" s="599"/>
      <c r="O20" s="173"/>
    </row>
    <row r="21" spans="1:15" ht="19.5">
      <c r="A21" s="578">
        <f>+A20+1</f>
        <v>5</v>
      </c>
      <c r="B21" s="579"/>
      <c r="C21" s="595" t="s">
        <v>612</v>
      </c>
      <c r="D21" s="595"/>
      <c r="E21" s="600">
        <f>'WS H-p2 Detail of Tax Amts'!E30</f>
        <v>0</v>
      </c>
      <c r="F21" s="595"/>
      <c r="G21" s="598">
        <f>+E21</f>
        <v>0</v>
      </c>
      <c r="H21" s="598"/>
      <c r="I21" s="598"/>
      <c r="J21" s="598"/>
      <c r="K21" s="598"/>
      <c r="L21" s="598"/>
      <c r="M21" s="599"/>
      <c r="O21" s="173"/>
    </row>
    <row r="22" spans="1:15" ht="19.5">
      <c r="A22" s="578">
        <f>+A21+1</f>
        <v>6</v>
      </c>
      <c r="B22" s="579"/>
      <c r="C22" s="595" t="s">
        <v>613</v>
      </c>
      <c r="D22" s="595"/>
      <c r="E22" s="600">
        <f>'WS H-p2 Detail of Tax Amts'!E37</f>
        <v>451658.26</v>
      </c>
      <c r="F22" s="595"/>
      <c r="G22" s="598">
        <f>+E22</f>
        <v>451658.26</v>
      </c>
      <c r="H22" s="598"/>
      <c r="I22" s="598"/>
      <c r="J22" s="598"/>
      <c r="K22" s="598"/>
      <c r="L22" s="598"/>
      <c r="M22" s="599"/>
      <c r="O22" s="173"/>
    </row>
    <row r="23" spans="1:15" ht="19.5">
      <c r="A23" s="578">
        <f>+A22+1</f>
        <v>7</v>
      </c>
      <c r="B23" s="579"/>
      <c r="C23" s="595" t="s">
        <v>243</v>
      </c>
      <c r="D23" s="602"/>
      <c r="E23" s="600">
        <f>+'WS H-p2 Detail of Tax Amts'!E43</f>
        <v>0</v>
      </c>
      <c r="F23" s="593"/>
      <c r="G23" s="598">
        <f>+E23</f>
        <v>0</v>
      </c>
      <c r="H23" s="598"/>
      <c r="I23" s="598"/>
      <c r="J23" s="598"/>
      <c r="K23" s="598"/>
      <c r="L23" s="598"/>
      <c r="M23" s="599"/>
      <c r="O23" s="173"/>
    </row>
    <row r="24" spans="1:15" ht="19.5">
      <c r="A24" s="578"/>
      <c r="B24" s="579"/>
      <c r="C24" s="585"/>
      <c r="D24" s="579"/>
      <c r="E24" s="601"/>
      <c r="F24" s="593"/>
      <c r="G24" s="598"/>
      <c r="H24" s="598"/>
      <c r="I24" s="598"/>
      <c r="J24" s="598"/>
      <c r="K24" s="598"/>
      <c r="L24" s="598"/>
      <c r="M24" s="599"/>
      <c r="O24" s="603"/>
    </row>
    <row r="25" spans="1:15" ht="19.5">
      <c r="A25" s="578">
        <f>+A23+1</f>
        <v>8</v>
      </c>
      <c r="B25" s="579"/>
      <c r="C25" s="597" t="s">
        <v>120</v>
      </c>
      <c r="D25" s="579"/>
      <c r="E25" s="601"/>
      <c r="F25" s="593"/>
      <c r="G25" s="598"/>
      <c r="H25" s="598"/>
      <c r="I25" s="598"/>
      <c r="J25" s="598"/>
      <c r="K25" s="598"/>
      <c r="L25" s="598"/>
      <c r="M25" s="599"/>
      <c r="O25" s="603"/>
    </row>
    <row r="26" spans="1:15" ht="19.5">
      <c r="A26" s="578">
        <f>+A25+1</f>
        <v>9</v>
      </c>
      <c r="B26" s="579"/>
      <c r="C26" s="595" t="s">
        <v>116</v>
      </c>
      <c r="D26" s="579"/>
      <c r="E26" s="600">
        <f>+'WS H-p2 Detail of Tax Amts'!E53</f>
        <v>0</v>
      </c>
      <c r="F26" s="593"/>
      <c r="G26" s="598"/>
      <c r="H26" s="598"/>
      <c r="I26" s="598">
        <f>+E26</f>
        <v>0</v>
      </c>
      <c r="J26" s="598"/>
      <c r="K26" s="598"/>
      <c r="L26" s="598"/>
      <c r="M26" s="599"/>
      <c r="O26" s="603"/>
    </row>
    <row r="27" spans="1:15" ht="19.5">
      <c r="A27" s="578">
        <f>+A26+1</f>
        <v>10</v>
      </c>
      <c r="B27" s="579"/>
      <c r="C27" s="595" t="s">
        <v>109</v>
      </c>
      <c r="D27" s="579"/>
      <c r="E27" s="600">
        <f>+'WS H-p2 Detail of Tax Amts'!E55</f>
        <v>0</v>
      </c>
      <c r="F27" s="593"/>
      <c r="G27" s="593"/>
      <c r="H27" s="593"/>
      <c r="I27" s="599">
        <f>+E27</f>
        <v>0</v>
      </c>
      <c r="J27" s="595"/>
      <c r="K27" s="593"/>
      <c r="L27" s="593"/>
      <c r="M27" s="599"/>
    </row>
    <row r="28" spans="1:15" ht="19.5">
      <c r="A28" s="578">
        <f>+A27+1</f>
        <v>11</v>
      </c>
      <c r="B28" s="579"/>
      <c r="C28" s="595" t="s">
        <v>110</v>
      </c>
      <c r="D28" s="579"/>
      <c r="E28" s="600">
        <f>+'WS H-p2 Detail of Tax Amts'!E57</f>
        <v>0</v>
      </c>
      <c r="F28" s="593"/>
      <c r="G28" s="593"/>
      <c r="H28" s="593"/>
      <c r="I28" s="599">
        <f>+E28</f>
        <v>0</v>
      </c>
      <c r="J28" s="594"/>
      <c r="K28" s="593"/>
      <c r="L28" s="593"/>
      <c r="M28" s="599"/>
    </row>
    <row r="29" spans="1:15" ht="19.5">
      <c r="A29" s="578" t="s">
        <v>408</v>
      </c>
      <c r="B29" s="579"/>
      <c r="C29" s="593"/>
      <c r="D29" s="579"/>
      <c r="E29" s="601"/>
      <c r="F29" s="593"/>
      <c r="G29" s="593"/>
      <c r="H29" s="593"/>
      <c r="I29" s="604"/>
      <c r="J29" s="605"/>
      <c r="K29" s="606"/>
      <c r="L29" s="606"/>
      <c r="M29" s="599"/>
    </row>
    <row r="30" spans="1:15" ht="19.5">
      <c r="A30" s="578">
        <f>A28+1</f>
        <v>12</v>
      </c>
      <c r="B30" s="579"/>
      <c r="C30" s="607" t="s">
        <v>312</v>
      </c>
      <c r="D30" s="579"/>
      <c r="E30" s="608"/>
      <c r="F30" s="609"/>
      <c r="G30" s="609"/>
      <c r="H30" s="609"/>
      <c r="I30" s="610"/>
      <c r="J30" s="611"/>
      <c r="K30" s="612"/>
      <c r="L30" s="612"/>
      <c r="M30" s="613"/>
    </row>
    <row r="31" spans="1:15" ht="19.5">
      <c r="A31" s="578">
        <f>A30+1</f>
        <v>13</v>
      </c>
      <c r="B31" s="579"/>
      <c r="C31" s="595" t="s">
        <v>214</v>
      </c>
      <c r="D31" s="602"/>
      <c r="E31" s="600">
        <f>+'WS H-p2 Detail of Tax Amts'!E62</f>
        <v>0</v>
      </c>
      <c r="F31" s="614"/>
      <c r="G31" s="593"/>
      <c r="H31" s="593"/>
      <c r="I31" s="604"/>
      <c r="J31" s="605"/>
      <c r="K31" s="606"/>
      <c r="L31" s="606"/>
      <c r="M31" s="599">
        <f>E31</f>
        <v>0</v>
      </c>
    </row>
    <row r="32" spans="1:15" ht="19.5">
      <c r="A32" s="578"/>
      <c r="B32" s="579"/>
      <c r="C32" s="593"/>
      <c r="D32" s="579"/>
      <c r="E32" s="601"/>
      <c r="F32" s="593"/>
      <c r="G32" s="593"/>
      <c r="H32" s="593"/>
      <c r="I32" s="604"/>
      <c r="J32" s="605"/>
      <c r="K32" s="606"/>
      <c r="L32" s="606"/>
      <c r="M32" s="599"/>
    </row>
    <row r="33" spans="1:13" ht="19.5">
      <c r="A33" s="615">
        <f>A31+1</f>
        <v>14</v>
      </c>
      <c r="B33" s="616"/>
      <c r="C33" s="597" t="s">
        <v>117</v>
      </c>
      <c r="D33" s="617"/>
      <c r="E33" s="601"/>
      <c r="F33" s="593"/>
      <c r="G33" s="599"/>
      <c r="H33" s="599"/>
      <c r="I33" s="599"/>
      <c r="J33" s="599"/>
      <c r="K33" s="599"/>
      <c r="L33" s="599"/>
      <c r="M33" s="599"/>
    </row>
    <row r="34" spans="1:13" ht="19.5">
      <c r="A34" s="615">
        <f>A33+1</f>
        <v>15</v>
      </c>
      <c r="B34" s="616"/>
      <c r="C34" s="595" t="s">
        <v>213</v>
      </c>
      <c r="D34" s="617"/>
      <c r="E34" s="600">
        <f>+'WS H-p2 Detail of Tax Amts'!E65</f>
        <v>0</v>
      </c>
      <c r="F34" s="614"/>
      <c r="G34" s="599"/>
      <c r="H34" s="599"/>
      <c r="I34" s="599"/>
      <c r="J34" s="599"/>
      <c r="K34" s="599"/>
      <c r="L34" s="599"/>
      <c r="M34" s="599">
        <f>E34</f>
        <v>0</v>
      </c>
    </row>
    <row r="35" spans="1:13" ht="19.5">
      <c r="A35" s="578">
        <f>A34+1</f>
        <v>16</v>
      </c>
      <c r="B35" s="579"/>
      <c r="C35" s="595" t="s">
        <v>111</v>
      </c>
      <c r="D35" s="579"/>
      <c r="E35" s="618">
        <f>+'WS H-p2 Detail of Tax Amts'!E68</f>
        <v>0</v>
      </c>
      <c r="F35" s="593"/>
      <c r="G35" s="599"/>
      <c r="H35" s="599"/>
      <c r="I35" s="599"/>
      <c r="J35" s="599"/>
      <c r="K35" s="599">
        <f>+E35</f>
        <v>0</v>
      </c>
      <c r="L35" s="599"/>
      <c r="M35" s="599"/>
    </row>
    <row r="36" spans="1:13" ht="19.5">
      <c r="A36" s="578">
        <f t="shared" ref="A36:A41" si="0">+A35+1</f>
        <v>17</v>
      </c>
      <c r="B36" s="579"/>
      <c r="C36" s="595" t="s">
        <v>112</v>
      </c>
      <c r="D36" s="173"/>
      <c r="E36" s="618">
        <f>+'WS H-p2 Detail of Tax Amts'!E72</f>
        <v>-638972</v>
      </c>
      <c r="F36" s="593"/>
      <c r="G36" s="618"/>
      <c r="H36" s="618"/>
      <c r="I36" s="618"/>
      <c r="J36" s="618"/>
      <c r="K36" s="599">
        <f>+E36</f>
        <v>-638972</v>
      </c>
      <c r="L36" s="618"/>
      <c r="M36" s="599"/>
    </row>
    <row r="37" spans="1:13" ht="19.5">
      <c r="A37" s="578">
        <f>+A36+1</f>
        <v>18</v>
      </c>
      <c r="B37" s="579"/>
      <c r="C37" s="595" t="s">
        <v>113</v>
      </c>
      <c r="D37" s="173"/>
      <c r="E37" s="618">
        <f>'WS H-p2 Detail of Tax Amts'!E84</f>
        <v>0</v>
      </c>
      <c r="F37" s="593"/>
      <c r="G37" s="599"/>
      <c r="H37" s="599"/>
      <c r="I37" s="599"/>
      <c r="J37" s="599"/>
      <c r="K37" s="599">
        <f>+E37</f>
        <v>0</v>
      </c>
      <c r="L37" s="599"/>
      <c r="M37" s="599"/>
    </row>
    <row r="38" spans="1:13" ht="19.5">
      <c r="A38" s="578">
        <f t="shared" si="0"/>
        <v>19</v>
      </c>
      <c r="B38" s="579"/>
      <c r="C38" s="595" t="s">
        <v>114</v>
      </c>
      <c r="D38" s="579"/>
      <c r="E38" s="618">
        <f>+'WS H-p2 Detail of Tax Amts'!E89</f>
        <v>0</v>
      </c>
      <c r="F38" s="593"/>
      <c r="G38" s="599"/>
      <c r="H38" s="599"/>
      <c r="I38" s="599"/>
      <c r="J38" s="599"/>
      <c r="K38" s="599">
        <f>+E38</f>
        <v>0</v>
      </c>
      <c r="L38" s="599"/>
      <c r="M38" s="599"/>
    </row>
    <row r="39" spans="1:13" ht="19.5">
      <c r="A39" s="578">
        <f t="shared" si="0"/>
        <v>20</v>
      </c>
      <c r="B39" s="579"/>
      <c r="C39" s="595" t="s">
        <v>115</v>
      </c>
      <c r="D39" s="579"/>
      <c r="E39" s="618">
        <f>+'WS H-p2 Detail of Tax Amts'!E93</f>
        <v>0</v>
      </c>
      <c r="F39" s="614"/>
      <c r="G39" s="599"/>
      <c r="H39" s="599"/>
      <c r="I39" s="599"/>
      <c r="J39" s="599"/>
      <c r="K39" s="599"/>
      <c r="L39" s="599"/>
      <c r="M39" s="599">
        <f>+E39</f>
        <v>0</v>
      </c>
    </row>
    <row r="40" spans="1:13" ht="19.5">
      <c r="A40" s="578">
        <f t="shared" si="0"/>
        <v>21</v>
      </c>
      <c r="B40" s="593"/>
      <c r="C40" s="595" t="s">
        <v>104</v>
      </c>
      <c r="D40" s="593"/>
      <c r="E40" s="618">
        <f>+'WS H-p2 Detail of Tax Amts'!E99</f>
        <v>0</v>
      </c>
      <c r="F40" s="593"/>
      <c r="G40" s="599"/>
      <c r="H40" s="599"/>
      <c r="I40" s="599"/>
      <c r="J40" s="599"/>
      <c r="K40" s="599"/>
      <c r="L40" s="599"/>
      <c r="M40" s="599">
        <f>+E40</f>
        <v>0</v>
      </c>
    </row>
    <row r="41" spans="1:13" ht="19.5">
      <c r="A41" s="578">
        <f t="shared" si="0"/>
        <v>22</v>
      </c>
      <c r="B41" s="593"/>
      <c r="C41" s="595" t="s">
        <v>400</v>
      </c>
      <c r="D41" s="614"/>
      <c r="E41" s="618">
        <v>0</v>
      </c>
      <c r="F41" s="614"/>
      <c r="G41" s="599"/>
      <c r="H41" s="599"/>
      <c r="I41" s="599"/>
      <c r="J41" s="599"/>
      <c r="K41" s="599"/>
      <c r="L41" s="599"/>
      <c r="M41" s="599">
        <f>+E41</f>
        <v>0</v>
      </c>
    </row>
    <row r="42" spans="1:13" ht="19.5">
      <c r="A42" s="314"/>
      <c r="B42" s="209"/>
      <c r="C42" s="595"/>
      <c r="D42" s="173"/>
      <c r="E42" s="173"/>
      <c r="F42" s="593"/>
      <c r="H42" s="619"/>
      <c r="I42" s="620"/>
      <c r="J42" s="620"/>
      <c r="K42" s="606"/>
      <c r="L42" s="621"/>
      <c r="M42" s="621"/>
    </row>
    <row r="43" spans="1:13" ht="20.25" thickBot="1">
      <c r="A43" s="622">
        <f>+A41+1</f>
        <v>23</v>
      </c>
      <c r="B43" s="209"/>
      <c r="C43" s="595" t="s">
        <v>108</v>
      </c>
      <c r="D43" s="173"/>
      <c r="E43" s="623">
        <f>SUM(E17:E41)</f>
        <v>-187313.74</v>
      </c>
      <c r="F43" s="593"/>
      <c r="G43" s="623">
        <f>SUM(G17:G41)</f>
        <v>451658.26</v>
      </c>
      <c r="H43" s="619"/>
      <c r="I43" s="623">
        <f>SUM(I17:I41)</f>
        <v>0</v>
      </c>
      <c r="J43" s="620"/>
      <c r="K43" s="623">
        <f>SUM(K17:K41)</f>
        <v>-638972</v>
      </c>
      <c r="L43" s="621"/>
      <c r="M43" s="623">
        <f>SUM(M17:M41)</f>
        <v>0</v>
      </c>
    </row>
    <row r="44" spans="1:13" ht="20.25" thickTop="1">
      <c r="A44" s="314"/>
      <c r="B44" s="209"/>
      <c r="C44" s="595" t="s">
        <v>173</v>
      </c>
      <c r="D44" s="173"/>
      <c r="E44" s="173"/>
      <c r="F44" s="593"/>
      <c r="G44" s="619"/>
      <c r="H44" s="619"/>
      <c r="I44" s="620"/>
      <c r="J44" s="204"/>
      <c r="K44" s="621"/>
      <c r="L44" s="621"/>
      <c r="M44" s="621"/>
    </row>
    <row r="45" spans="1:13" ht="19.5">
      <c r="A45" s="314"/>
      <c r="B45" s="209"/>
      <c r="C45" s="595" t="s">
        <v>5</v>
      </c>
      <c r="D45" s="173"/>
      <c r="E45" s="173"/>
      <c r="F45" s="593"/>
      <c r="G45" s="619"/>
      <c r="H45" s="619"/>
      <c r="I45" s="620"/>
      <c r="J45" s="204"/>
      <c r="K45" s="621"/>
      <c r="L45" s="621"/>
      <c r="M45" s="621"/>
    </row>
    <row r="46" spans="1:13" ht="19.5">
      <c r="A46" s="314"/>
      <c r="B46" s="209"/>
      <c r="C46" s="1507" t="s">
        <v>242</v>
      </c>
      <c r="D46" s="1507"/>
      <c r="E46" s="1507"/>
      <c r="F46" s="1507"/>
      <c r="G46" s="1507"/>
      <c r="H46" s="1507"/>
      <c r="I46" s="1507"/>
      <c r="J46" s="1507"/>
      <c r="K46" s="1507"/>
      <c r="L46" s="1507"/>
      <c r="M46" s="1507"/>
    </row>
    <row r="47" spans="1:13" ht="78">
      <c r="A47" s="578"/>
      <c r="C47" s="593"/>
      <c r="D47" s="593"/>
      <c r="E47" s="624" t="s">
        <v>313</v>
      </c>
      <c r="G47" s="625" t="s">
        <v>409</v>
      </c>
      <c r="H47" s="625"/>
      <c r="I47" s="624" t="s">
        <v>314</v>
      </c>
      <c r="J47" s="625"/>
      <c r="K47" s="625" t="s">
        <v>128</v>
      </c>
      <c r="L47" s="625"/>
      <c r="M47" s="625" t="s">
        <v>412</v>
      </c>
    </row>
    <row r="48" spans="1:13" ht="19.5">
      <c r="A48" s="626">
        <f>+A43+1</f>
        <v>24</v>
      </c>
      <c r="B48" s="627"/>
      <c r="C48" s="628" t="str">
        <f>"Functionalized Net Plant (TCOS, Lns "&amp;TCOS!B79&amp;" thru "&amp;TCOS!B82&amp;")"</f>
        <v>Functionalized Net Plant (TCOS, Lns 33 thru 36)</v>
      </c>
      <c r="D48" s="614"/>
      <c r="E48" s="629">
        <v>0</v>
      </c>
      <c r="F48" s="628"/>
      <c r="G48" s="629">
        <f>+TCOS!G79</f>
        <v>116938284.97999997</v>
      </c>
      <c r="H48" s="628"/>
      <c r="I48" s="629">
        <v>0</v>
      </c>
      <c r="J48" s="628"/>
      <c r="K48" s="630">
        <f>+TCOS!G80</f>
        <v>685081.67615384609</v>
      </c>
      <c r="L48" s="614"/>
      <c r="M48" s="631">
        <f>SUM(E48:K48)</f>
        <v>117623366.65615383</v>
      </c>
    </row>
    <row r="49" spans="1:21" ht="19.5">
      <c r="A49" s="626"/>
      <c r="B49" s="627"/>
      <c r="C49" s="585" t="s">
        <v>614</v>
      </c>
      <c r="D49" s="614"/>
      <c r="E49" s="631"/>
      <c r="F49" s="614"/>
      <c r="G49" s="632"/>
      <c r="H49" s="614"/>
      <c r="I49" s="631"/>
      <c r="J49" s="614"/>
      <c r="K49" s="633"/>
      <c r="L49" s="614"/>
      <c r="M49" s="634"/>
    </row>
    <row r="50" spans="1:21" ht="19.5">
      <c r="A50" s="626">
        <f>+A48+1</f>
        <v>25</v>
      </c>
      <c r="B50" s="627"/>
      <c r="C50" s="614" t="str">
        <f>"Percentage of Plant in "&amp;C49&amp;""</f>
        <v>Percentage of Plant in WEST VIRGINIA JURISDICTION</v>
      </c>
      <c r="D50" s="614"/>
      <c r="E50" s="649"/>
      <c r="F50" s="635"/>
      <c r="G50" s="649"/>
      <c r="H50" s="635"/>
      <c r="I50" s="649"/>
      <c r="J50" s="635"/>
      <c r="K50" s="649"/>
      <c r="L50" s="614"/>
      <c r="M50" s="634"/>
    </row>
    <row r="51" spans="1:21" ht="19.5">
      <c r="A51" s="626">
        <f t="shared" ref="A51:A58" si="1">+A50+1</f>
        <v>26</v>
      </c>
      <c r="B51" s="627"/>
      <c r="C51" s="628" t="str">
        <f>"Net Plant in "&amp;C49&amp;" (Ln "&amp;A48&amp;" * Ln "&amp;A50&amp;")"</f>
        <v>Net Plant in WEST VIRGINIA JURISDICTION (Ln 24 * Ln 25)</v>
      </c>
      <c r="D51" s="614"/>
      <c r="E51" s="631">
        <f>+E48*E50</f>
        <v>0</v>
      </c>
      <c r="F51" s="614"/>
      <c r="G51" s="631">
        <f>+G48*G50</f>
        <v>0</v>
      </c>
      <c r="H51" s="614"/>
      <c r="I51" s="631">
        <f>+I48*I50</f>
        <v>0</v>
      </c>
      <c r="J51" s="614"/>
      <c r="K51" s="631">
        <f>+K48*K50</f>
        <v>0</v>
      </c>
      <c r="L51" s="614"/>
      <c r="M51" s="631">
        <f>SUM(E51:K51)</f>
        <v>0</v>
      </c>
      <c r="O51" s="173"/>
    </row>
    <row r="52" spans="1:21" ht="19.5">
      <c r="A52" s="626">
        <f t="shared" si="1"/>
        <v>27</v>
      </c>
      <c r="B52" s="627"/>
      <c r="C52" s="628" t="s">
        <v>543</v>
      </c>
      <c r="D52" s="614"/>
      <c r="E52" s="649"/>
      <c r="F52" s="614"/>
      <c r="G52" s="636"/>
      <c r="H52" s="614"/>
      <c r="I52" s="636"/>
      <c r="J52" s="614"/>
      <c r="K52" s="637"/>
      <c r="L52" s="614"/>
      <c r="M52" s="631"/>
      <c r="O52" s="173"/>
    </row>
    <row r="53" spans="1:21" ht="19.5">
      <c r="A53" s="626">
        <f t="shared" si="1"/>
        <v>28</v>
      </c>
      <c r="B53" s="627"/>
      <c r="C53" s="614" t="str">
        <f>"Taxable Property Basis (Ln "&amp;A51&amp;" - Ln "&amp;A52&amp;")"</f>
        <v>Taxable Property Basis (Ln 26 - Ln 27)</v>
      </c>
      <c r="D53" s="614"/>
      <c r="E53" s="631">
        <f>+E51-E52</f>
        <v>0</v>
      </c>
      <c r="F53" s="614"/>
      <c r="G53" s="631">
        <f>+G51-G52</f>
        <v>0</v>
      </c>
      <c r="H53" s="614"/>
      <c r="I53" s="631">
        <f>+I51-I52</f>
        <v>0</v>
      </c>
      <c r="J53" s="614"/>
      <c r="K53" s="631">
        <f>+K51-K52</f>
        <v>0</v>
      </c>
      <c r="L53" s="614"/>
      <c r="M53" s="631">
        <f>SUM(E53:K53)</f>
        <v>0</v>
      </c>
      <c r="O53" s="173"/>
    </row>
    <row r="54" spans="1:21" ht="19.5">
      <c r="A54" s="626">
        <f t="shared" si="1"/>
        <v>29</v>
      </c>
      <c r="B54" s="627"/>
      <c r="C54" s="618" t="s">
        <v>240</v>
      </c>
      <c r="D54" s="614"/>
      <c r="E54" s="649"/>
      <c r="F54" s="635"/>
      <c r="G54" s="649"/>
      <c r="H54" s="635"/>
      <c r="I54" s="649"/>
      <c r="J54" s="635"/>
      <c r="K54" s="649"/>
      <c r="L54" s="614"/>
      <c r="M54" s="631">
        <f>SUM(E54:K54)</f>
        <v>0</v>
      </c>
      <c r="O54" s="173"/>
    </row>
    <row r="55" spans="1:21" ht="19.5">
      <c r="A55" s="626">
        <f t="shared" si="1"/>
        <v>30</v>
      </c>
      <c r="B55" s="627"/>
      <c r="C55" s="628" t="str">
        <f>"Weighted Net Plant (Ln "&amp;A53&amp;" * Ln "&amp;A54&amp;")"</f>
        <v>Weighted Net Plant (Ln 28 * Ln 29)</v>
      </c>
      <c r="D55" s="614"/>
      <c r="E55" s="631">
        <f>+E53*E54</f>
        <v>0</v>
      </c>
      <c r="F55" s="614"/>
      <c r="G55" s="631">
        <f>+G53*G54</f>
        <v>0</v>
      </c>
      <c r="H55" s="614"/>
      <c r="I55" s="631">
        <f>+I53*I54</f>
        <v>0</v>
      </c>
      <c r="J55" s="614"/>
      <c r="K55" s="631">
        <f>+K53*K54</f>
        <v>0</v>
      </c>
      <c r="L55" s="614"/>
      <c r="M55" s="631"/>
      <c r="O55" s="173"/>
      <c r="P55" s="173"/>
      <c r="Q55" s="173"/>
      <c r="R55" s="173"/>
      <c r="S55" s="173"/>
      <c r="T55" s="173"/>
      <c r="U55" s="173"/>
    </row>
    <row r="56" spans="1:21" ht="19.5">
      <c r="A56" s="626">
        <f t="shared" si="1"/>
        <v>31</v>
      </c>
      <c r="B56" s="627"/>
      <c r="C56" s="614" t="str">
        <f>+"General Plant Allocator (Ln "&amp;A55&amp;" / (Total - General Plant))"</f>
        <v>General Plant Allocator (Ln 30 / (Total - General Plant))</v>
      </c>
      <c r="D56" s="614"/>
      <c r="E56" s="638">
        <f>IF(E54=0,0,+E55/($E55+$G55+$I55))</f>
        <v>0</v>
      </c>
      <c r="F56" s="614"/>
      <c r="G56" s="638">
        <v>1</v>
      </c>
      <c r="H56" s="614"/>
      <c r="I56" s="638">
        <f>IF(I54=0,0,+I55/($E55+$G55+$I55))</f>
        <v>0</v>
      </c>
      <c r="J56" s="614"/>
      <c r="K56" s="638">
        <v>-1</v>
      </c>
      <c r="L56" s="614"/>
      <c r="M56" s="614"/>
      <c r="O56" s="173"/>
      <c r="P56" s="173"/>
      <c r="Q56" s="173"/>
      <c r="R56" s="173"/>
      <c r="S56" s="173"/>
      <c r="T56" s="173"/>
      <c r="U56" s="173"/>
    </row>
    <row r="57" spans="1:21" ht="19.5">
      <c r="A57" s="626">
        <f t="shared" si="1"/>
        <v>32</v>
      </c>
      <c r="B57" s="627"/>
      <c r="C57" s="614" t="str">
        <f>"Functionalized General Plant (Ln "&amp;A56&amp;" * General Plant)"</f>
        <v>Functionalized General Plant (Ln 31 * General Plant)</v>
      </c>
      <c r="D57" s="614"/>
      <c r="E57" s="639">
        <f>ROUND($K55*E56,0)</f>
        <v>0</v>
      </c>
      <c r="F57" s="614"/>
      <c r="G57" s="639">
        <f>+G56*K55</f>
        <v>0</v>
      </c>
      <c r="H57" s="614"/>
      <c r="I57" s="639">
        <f>ROUND($K55*I56,0)</f>
        <v>0</v>
      </c>
      <c r="J57" s="614"/>
      <c r="K57" s="639">
        <f>ROUND($K55*K56,0)</f>
        <v>0</v>
      </c>
      <c r="L57" s="614"/>
      <c r="M57" s="631">
        <f>IF(SUM(E57:K57)&lt;&gt;0,0,0)</f>
        <v>0</v>
      </c>
      <c r="O57" s="173"/>
      <c r="P57" s="173"/>
      <c r="Q57" s="173"/>
      <c r="R57" s="173"/>
      <c r="S57" s="173"/>
      <c r="T57" s="173"/>
      <c r="U57" s="173"/>
    </row>
    <row r="58" spans="1:21" ht="19.5">
      <c r="A58" s="626">
        <f t="shared" si="1"/>
        <v>33</v>
      </c>
      <c r="B58" s="627"/>
      <c r="C58" s="614" t="str">
        <f>"Weighted "&amp;C49&amp;" Plant (Ln "&amp;A55&amp;" + "&amp;A57&amp;")"</f>
        <v>Weighted WEST VIRGINIA JURISDICTION Plant (Ln 30 + 32)</v>
      </c>
      <c r="D58" s="614"/>
      <c r="E58" s="631">
        <f>+E55+E57</f>
        <v>0</v>
      </c>
      <c r="F58" s="614"/>
      <c r="G58" s="633">
        <f>+G55+G57</f>
        <v>0</v>
      </c>
      <c r="H58" s="614"/>
      <c r="I58" s="631">
        <f>+I55+I57</f>
        <v>0</v>
      </c>
      <c r="J58" s="614"/>
      <c r="K58" s="631">
        <f>+K55+K57</f>
        <v>0</v>
      </c>
      <c r="L58" s="614"/>
      <c r="M58" s="631">
        <f>SUM(E58:K58)-SUM(E57:K57)</f>
        <v>0</v>
      </c>
      <c r="O58" s="173"/>
    </row>
    <row r="59" spans="1:21" ht="19.5">
      <c r="A59" s="626">
        <f>+A58+1</f>
        <v>34</v>
      </c>
      <c r="B59" s="627"/>
      <c r="C59" s="614" t="str">
        <f>"Functional Percentage (Ln "&amp;A58&amp;"/Total Ln "&amp;A58&amp;")"</f>
        <v>Functional Percentage (Ln 33/Total Ln 33)</v>
      </c>
      <c r="D59" s="614"/>
      <c r="E59" s="632">
        <f>IF(E58=0,0,+E58/$M$58)</f>
        <v>0</v>
      </c>
      <c r="F59" s="614"/>
      <c r="G59" s="632">
        <v>1</v>
      </c>
      <c r="H59" s="614"/>
      <c r="I59" s="632">
        <f>IF(I58=0,0,+I58/$M$58)</f>
        <v>0</v>
      </c>
      <c r="J59" s="614"/>
      <c r="K59" s="173"/>
      <c r="L59" s="614"/>
      <c r="M59" s="631"/>
      <c r="O59" s="173"/>
    </row>
    <row r="60" spans="1:21" ht="19.5">
      <c r="A60" s="626"/>
      <c r="B60" s="627"/>
      <c r="C60" s="646" t="s">
        <v>943</v>
      </c>
      <c r="D60" s="614"/>
      <c r="E60" s="631"/>
      <c r="F60" s="614"/>
      <c r="G60" s="640"/>
      <c r="H60" s="614"/>
      <c r="I60" s="631"/>
      <c r="J60" s="614"/>
      <c r="K60" s="632"/>
      <c r="L60" s="614"/>
      <c r="M60" s="631"/>
      <c r="O60" s="173"/>
    </row>
    <row r="61" spans="1:21" ht="19.5">
      <c r="A61" s="626">
        <f>A59+1</f>
        <v>35</v>
      </c>
      <c r="B61" s="627"/>
      <c r="C61" s="647" t="str">
        <f>"Net Plant in "&amp;C60&amp;" (Ln "&amp;A48&amp;" - Ln "&amp;A51&amp;")"</f>
        <v>Net Plant in TENNESSEE JURISDICTION (Ln 24 - Ln 26)</v>
      </c>
      <c r="D61" s="614"/>
      <c r="E61" s="631">
        <f>+E48-E51</f>
        <v>0</v>
      </c>
      <c r="F61" s="614"/>
      <c r="G61" s="631">
        <f>+G48-G51</f>
        <v>116938284.97999997</v>
      </c>
      <c r="H61" s="614"/>
      <c r="I61" s="631">
        <f>+I48-I51</f>
        <v>0</v>
      </c>
      <c r="J61" s="614"/>
      <c r="K61" s="631">
        <f>+K48-K51</f>
        <v>685081.67615384609</v>
      </c>
      <c r="L61" s="614"/>
      <c r="M61" s="631">
        <f>SUM(E61:K61)</f>
        <v>117623366.65615383</v>
      </c>
      <c r="O61" s="173"/>
    </row>
    <row r="62" spans="1:21" ht="19.5">
      <c r="A62" s="626">
        <f t="shared" ref="A62:A68" si="2">+A61+1</f>
        <v>36</v>
      </c>
      <c r="B62" s="627"/>
      <c r="C62" s="628" t="s">
        <v>542</v>
      </c>
      <c r="D62" s="614"/>
      <c r="E62" s="649"/>
      <c r="F62" s="614"/>
      <c r="G62" s="636"/>
      <c r="H62" s="614"/>
      <c r="I62" s="636"/>
      <c r="J62" s="614"/>
      <c r="K62" s="637"/>
      <c r="L62" s="614"/>
      <c r="M62" s="631"/>
      <c r="O62" s="173"/>
    </row>
    <row r="63" spans="1:21" ht="19.5">
      <c r="A63" s="626">
        <f t="shared" si="2"/>
        <v>37</v>
      </c>
      <c r="B63" s="627"/>
      <c r="C63" s="614" t="s">
        <v>241</v>
      </c>
      <c r="D63" s="614"/>
      <c r="E63" s="631">
        <f>+E61-E62</f>
        <v>0</v>
      </c>
      <c r="F63" s="614"/>
      <c r="G63" s="631">
        <f>+G61-G62</f>
        <v>116938284.97999997</v>
      </c>
      <c r="H63" s="614"/>
      <c r="I63" s="631">
        <f>+I61-I62</f>
        <v>0</v>
      </c>
      <c r="J63" s="614"/>
      <c r="K63" s="631">
        <f>+K61-K62</f>
        <v>685081.67615384609</v>
      </c>
      <c r="L63" s="614"/>
      <c r="M63" s="631">
        <f>SUM(E63:K63)</f>
        <v>117623366.65615383</v>
      </c>
      <c r="O63" s="173"/>
    </row>
    <row r="64" spans="1:21" ht="19.5">
      <c r="A64" s="626">
        <f t="shared" si="2"/>
        <v>38</v>
      </c>
      <c r="B64" s="627"/>
      <c r="C64" s="618" t="s">
        <v>240</v>
      </c>
      <c r="D64" s="614"/>
      <c r="E64" s="649"/>
      <c r="F64" s="635"/>
      <c r="G64" s="649"/>
      <c r="H64" s="635"/>
      <c r="I64" s="649"/>
      <c r="J64" s="635"/>
      <c r="K64" s="649"/>
      <c r="L64" s="614"/>
      <c r="M64" s="631"/>
      <c r="O64" s="173"/>
    </row>
    <row r="65" spans="1:15" ht="19.5">
      <c r="A65" s="626">
        <f t="shared" si="2"/>
        <v>39</v>
      </c>
      <c r="B65" s="627"/>
      <c r="C65" s="614" t="str">
        <f>"Weighted Net Plant (Ln "&amp;A63&amp;" * Ln "&amp;A64&amp;")"</f>
        <v>Weighted Net Plant (Ln 37 * Ln 38)</v>
      </c>
      <c r="D65" s="614"/>
      <c r="E65" s="631">
        <f>+E63*E64</f>
        <v>0</v>
      </c>
      <c r="F65" s="614"/>
      <c r="G65" s="631">
        <f>+G63*G64</f>
        <v>0</v>
      </c>
      <c r="H65" s="614"/>
      <c r="I65" s="631">
        <f>+I63*I64</f>
        <v>0</v>
      </c>
      <c r="J65" s="614"/>
      <c r="K65" s="631">
        <f>+K63*K64</f>
        <v>0</v>
      </c>
      <c r="L65" s="614"/>
      <c r="M65" s="631"/>
      <c r="O65" s="173"/>
    </row>
    <row r="66" spans="1:15" ht="19.5">
      <c r="A66" s="626">
        <f t="shared" si="2"/>
        <v>40</v>
      </c>
      <c r="B66" s="627"/>
      <c r="C66" s="614" t="str">
        <f>+"General Plant Allocator (Ln "&amp;A65&amp;" / (Total - General Plant)"</f>
        <v>General Plant Allocator (Ln 39 / (Total - General Plant)</v>
      </c>
      <c r="D66" s="614"/>
      <c r="E66" s="638">
        <f>IF(E64=0,0,+E65/($E65+$G65+$I65))</f>
        <v>0</v>
      </c>
      <c r="F66" s="614"/>
      <c r="G66" s="638">
        <v>1</v>
      </c>
      <c r="H66" s="614"/>
      <c r="I66" s="638">
        <f>IF(I64=0,0,+I65/($E65+$G65+$I65))</f>
        <v>0</v>
      </c>
      <c r="J66" s="614"/>
      <c r="K66" s="638">
        <v>-1</v>
      </c>
      <c r="L66" s="614"/>
      <c r="M66" s="631"/>
      <c r="O66" s="173"/>
    </row>
    <row r="67" spans="1:15" ht="19.5">
      <c r="A67" s="626">
        <f t="shared" si="2"/>
        <v>41</v>
      </c>
      <c r="B67" s="627"/>
      <c r="C67" s="614" t="str">
        <f>"Functionalized General Plant (Ln "&amp;A67&amp;" * General Plant)"</f>
        <v>Functionalized General Plant (Ln 41 * General Plant)</v>
      </c>
      <c r="D67" s="614"/>
      <c r="E67" s="639">
        <f>ROUND($K65*E66,0)</f>
        <v>0</v>
      </c>
      <c r="F67" s="614"/>
      <c r="G67" s="639">
        <f>ROUND($K65*G66,0)</f>
        <v>0</v>
      </c>
      <c r="H67" s="614"/>
      <c r="I67" s="639">
        <f>ROUND($K65*I66,0)</f>
        <v>0</v>
      </c>
      <c r="J67" s="614"/>
      <c r="K67" s="639">
        <f>ROUND($K65*K66,0)</f>
        <v>0</v>
      </c>
      <c r="L67" s="614"/>
      <c r="M67" s="631"/>
      <c r="O67" s="173"/>
    </row>
    <row r="68" spans="1:15" ht="19.5">
      <c r="A68" s="626">
        <f t="shared" si="2"/>
        <v>42</v>
      </c>
      <c r="B68" s="627"/>
      <c r="C68" s="648" t="str">
        <f>"Weighted "&amp;C60&amp;" Plant (Ln "&amp;A65&amp;" + "&amp;A67&amp;")"</f>
        <v>Weighted TENNESSEE JURISDICTION Plant (Ln 39 + 41)</v>
      </c>
      <c r="D68" s="614"/>
      <c r="E68" s="631">
        <f>+E65+E67</f>
        <v>0</v>
      </c>
      <c r="F68" s="614"/>
      <c r="G68" s="633">
        <f>+G65+G67</f>
        <v>0</v>
      </c>
      <c r="H68" s="614"/>
      <c r="I68" s="631">
        <f>+I65+I67</f>
        <v>0</v>
      </c>
      <c r="J68" s="614"/>
      <c r="K68" s="631">
        <f>+K65+K67</f>
        <v>0</v>
      </c>
      <c r="L68" s="614"/>
      <c r="M68" s="631">
        <f>SUM(E68:K68)-SUM(E67:K67)</f>
        <v>0</v>
      </c>
      <c r="O68" s="173"/>
    </row>
    <row r="69" spans="1:15" ht="19.5">
      <c r="A69" s="626">
        <f>+A68+1</f>
        <v>43</v>
      </c>
      <c r="B69" s="627"/>
      <c r="C69" s="614" t="str">
        <f>"Functional Percentage (Ln "&amp;A68&amp;"/Total Ln "&amp;A68&amp;")"</f>
        <v>Functional Percentage (Ln 42/Total Ln 42)</v>
      </c>
      <c r="D69" s="614"/>
      <c r="E69" s="632">
        <f>IF(E68=0,0,+E68/$M$68)</f>
        <v>0</v>
      </c>
      <c r="F69" s="614"/>
      <c r="G69" s="632">
        <v>1</v>
      </c>
      <c r="H69" s="614"/>
      <c r="I69" s="632">
        <f>IF(I68=0,0,+I68/$M$68)</f>
        <v>0</v>
      </c>
      <c r="J69" s="173"/>
      <c r="K69" s="173"/>
      <c r="L69" s="614"/>
      <c r="M69" s="631"/>
      <c r="O69" s="173"/>
    </row>
    <row r="70" spans="1:15" ht="19.5">
      <c r="A70" s="626"/>
      <c r="B70" s="627"/>
      <c r="C70" s="614"/>
      <c r="D70" s="614"/>
      <c r="E70" s="618"/>
      <c r="F70" s="618"/>
      <c r="G70" s="618"/>
      <c r="H70" s="618"/>
      <c r="I70" s="618"/>
      <c r="J70" s="614"/>
      <c r="K70" s="641"/>
      <c r="L70" s="614"/>
      <c r="M70" s="618"/>
      <c r="O70" s="173"/>
    </row>
    <row r="71" spans="1:15" ht="19.5">
      <c r="A71" s="626"/>
      <c r="B71" s="627"/>
      <c r="D71" s="614"/>
      <c r="E71" s="641"/>
      <c r="F71" s="614"/>
      <c r="G71" s="641"/>
      <c r="H71" s="614"/>
      <c r="I71" s="641"/>
      <c r="J71" s="614"/>
      <c r="K71" s="641"/>
      <c r="L71" s="614"/>
      <c r="M71" s="618"/>
      <c r="O71" s="173"/>
    </row>
    <row r="72" spans="1:15" ht="12.75">
      <c r="O72" s="173"/>
    </row>
    <row r="73" spans="1:15" ht="12.75">
      <c r="O73" s="173"/>
    </row>
    <row r="74" spans="1:15" ht="12.75">
      <c r="G74" s="644"/>
      <c r="O74" s="173"/>
    </row>
    <row r="215" spans="7:7" ht="15.75" thickBot="1"/>
    <row r="216" spans="7:7" ht="20.25" thickBot="1">
      <c r="G216" s="645"/>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7"/>
  <sheetViews>
    <sheetView view="pageBreakPreview" topLeftCell="A16" zoomScale="60" zoomScaleNormal="60" workbookViewId="0">
      <selection activeCell="A4" sqref="D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4" t="s">
        <v>408</v>
      </c>
      <c r="B1" s="72" t="s">
        <v>408</v>
      </c>
    </row>
    <row r="2" spans="1:20" ht="15.75">
      <c r="A2" s="1004" t="s">
        <v>408</v>
      </c>
    </row>
    <row r="3" spans="1:20" ht="18.75" customHeight="1">
      <c r="A3" s="1472" t="str">
        <f>TCOS!$F$5</f>
        <v>AEPTCo subsidiaries in PJM</v>
      </c>
      <c r="B3" s="1472" t="str">
        <f>TCOS!$F$5</f>
        <v>AEPTCo subsidiaries in PJM</v>
      </c>
      <c r="C3" s="1472" t="str">
        <f>TCOS!$F$5</f>
        <v>AEPTCo subsidiaries in PJM</v>
      </c>
      <c r="D3" s="1472" t="str">
        <f>TCOS!$F$5</f>
        <v>AEPTCo subsidiaries in PJM</v>
      </c>
      <c r="E3" s="1472" t="str">
        <f>TCOS!$F$5</f>
        <v>AEPTCo subsidiaries in PJM</v>
      </c>
      <c r="F3" s="1510"/>
      <c r="G3" s="1510"/>
    </row>
    <row r="4" spans="1:20" ht="18.75" customHeight="1">
      <c r="A4" s="1472" t="str">
        <f>"Cost of Service Formula Rate Using Actual/Projected FF1 Balances"</f>
        <v>Cost of Service Formula Rate Using Actual/Projected FF1 Balances</v>
      </c>
      <c r="B4" s="1472"/>
      <c r="C4" s="1472"/>
      <c r="D4" s="1472"/>
      <c r="E4" s="1472"/>
      <c r="F4" s="1510"/>
      <c r="G4" s="1510"/>
      <c r="H4" s="1472"/>
      <c r="I4" s="1472"/>
      <c r="J4" s="1472"/>
      <c r="K4" s="1472"/>
      <c r="L4" s="1472"/>
      <c r="M4" s="1510"/>
    </row>
    <row r="5" spans="1:20" ht="18.75" customHeight="1">
      <c r="A5" s="1465" t="s">
        <v>246</v>
      </c>
      <c r="B5" s="1465"/>
      <c r="C5" s="1465"/>
      <c r="D5" s="1465"/>
      <c r="E5" s="1465"/>
      <c r="F5" s="1510"/>
      <c r="G5" s="1510"/>
    </row>
    <row r="6" spans="1:20" ht="18" customHeight="1">
      <c r="A6" s="1512" t="str">
        <f>+TCOS!F9</f>
        <v>AEP Appalachian Transmission Company</v>
      </c>
      <c r="B6" s="1512"/>
      <c r="C6" s="1512"/>
      <c r="D6" s="1512"/>
      <c r="E6" s="1512"/>
      <c r="F6" s="1513"/>
      <c r="G6" s="1513"/>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0"/>
      <c r="G15" s="124" t="s">
        <v>408</v>
      </c>
    </row>
    <row r="16" spans="1:20" ht="19.5">
      <c r="A16" s="61"/>
      <c r="B16" s="62"/>
      <c r="C16" s="57"/>
      <c r="D16" s="62"/>
      <c r="E16" s="123"/>
      <c r="F16" s="650"/>
      <c r="G16" s="124" t="s">
        <v>408</v>
      </c>
    </row>
    <row r="17" spans="1:9" ht="19.5">
      <c r="A17" s="61"/>
      <c r="B17" s="62"/>
      <c r="C17" s="57"/>
      <c r="D17" s="62"/>
      <c r="E17" s="123"/>
      <c r="F17" s="1065"/>
      <c r="G17" s="124" t="s">
        <v>408</v>
      </c>
    </row>
    <row r="18" spans="1:9" ht="19.5">
      <c r="A18" s="1068"/>
      <c r="B18" s="1069"/>
      <c r="C18" s="1008"/>
      <c r="D18" s="1069"/>
      <c r="E18" s="1007"/>
      <c r="F18" s="1006"/>
      <c r="G18" s="1005"/>
      <c r="H18" s="1009"/>
      <c r="I18" s="1009"/>
    </row>
    <row r="19" spans="1:9" ht="18">
      <c r="A19" s="1249"/>
      <c r="B19" s="1250"/>
      <c r="C19" s="1252" t="s">
        <v>454</v>
      </c>
      <c r="D19" s="1252" t="s">
        <v>455</v>
      </c>
      <c r="E19" s="1253" t="s">
        <v>456</v>
      </c>
      <c r="F19" s="1253" t="s">
        <v>457</v>
      </c>
      <c r="G19" s="1253" t="s">
        <v>377</v>
      </c>
      <c r="H19" s="1254" t="s">
        <v>378</v>
      </c>
      <c r="I19" s="1253" t="s">
        <v>379</v>
      </c>
    </row>
    <row r="20" spans="1:9" ht="47.25">
      <c r="A20" s="1249"/>
      <c r="B20" s="1250"/>
      <c r="C20" s="1255" t="s">
        <v>695</v>
      </c>
      <c r="D20" s="1256" t="s">
        <v>691</v>
      </c>
      <c r="E20" s="1257" t="s">
        <v>692</v>
      </c>
      <c r="F20" s="1257" t="s">
        <v>693</v>
      </c>
      <c r="G20" s="1257" t="s">
        <v>4</v>
      </c>
      <c r="H20" s="1258" t="s">
        <v>694</v>
      </c>
      <c r="I20" s="1258" t="s">
        <v>696</v>
      </c>
    </row>
    <row r="21" spans="1:9" ht="19.5">
      <c r="A21" s="1249"/>
      <c r="B21" s="1250"/>
      <c r="C21" s="70"/>
      <c r="D21" s="1250"/>
      <c r="E21" s="128"/>
      <c r="F21" s="1012"/>
      <c r="G21" s="122"/>
      <c r="H21" s="122"/>
      <c r="I21" s="122"/>
    </row>
    <row r="22" spans="1:9" ht="58.5">
      <c r="A22" s="1249">
        <f>+A14+1</f>
        <v>3</v>
      </c>
      <c r="B22" s="1250"/>
      <c r="C22" s="1251" t="str">
        <f>"Real Estate and Personal Property Taxes Total
 (Ln "&amp;A23&amp;" + Ln "&amp;A30 &amp;" + Ln "&amp;A37&amp;" + Ln "&amp;A43&amp;")"</f>
        <v>Real Estate and Personal Property Taxes Total
 (Ln 4 + Ln 5 + Ln 6 + Ln 7)</v>
      </c>
      <c r="D22" s="1250"/>
      <c r="E22" s="1071">
        <f>E23+E30+E37+E43</f>
        <v>451658.26</v>
      </c>
      <c r="F22" s="128"/>
      <c r="G22" s="70"/>
      <c r="H22" s="122"/>
      <c r="I22" s="1071">
        <f>I23+I30+I37+I43</f>
        <v>451658.26</v>
      </c>
    </row>
    <row r="23" spans="1:9" ht="19.5">
      <c r="A23" s="61">
        <f>+A22+1</f>
        <v>4</v>
      </c>
      <c r="B23" s="62"/>
      <c r="C23" s="60" t="s">
        <v>611</v>
      </c>
      <c r="D23" s="60"/>
      <c r="E23" s="128">
        <f>SUM(F24:F29)</f>
        <v>0</v>
      </c>
      <c r="F23" s="123"/>
      <c r="G23" s="70"/>
      <c r="I23" s="128">
        <f>SUM(I24:I29)</f>
        <v>0</v>
      </c>
    </row>
    <row r="24" spans="1:9" ht="19.5">
      <c r="A24" s="61"/>
      <c r="B24" s="62"/>
      <c r="C24" s="60"/>
      <c r="D24" s="60"/>
      <c r="E24" s="128"/>
      <c r="F24" s="650"/>
      <c r="G24" s="1014"/>
      <c r="H24" s="1013"/>
      <c r="I24" s="1012">
        <f t="shared" ref="I24:I29" si="0">F24*H24</f>
        <v>0</v>
      </c>
    </row>
    <row r="25" spans="1:9" ht="19.5">
      <c r="A25" s="61"/>
      <c r="B25" s="62"/>
      <c r="C25" s="60"/>
      <c r="D25" s="60"/>
      <c r="E25" s="128"/>
      <c r="F25" s="650"/>
      <c r="G25" s="1014"/>
      <c r="H25" s="1067"/>
      <c r="I25" s="1012">
        <f t="shared" si="0"/>
        <v>0</v>
      </c>
    </row>
    <row r="26" spans="1:9" ht="19.5">
      <c r="A26" s="61"/>
      <c r="B26" s="62"/>
      <c r="C26" s="60"/>
      <c r="D26" s="60"/>
      <c r="E26" s="128"/>
      <c r="F26" s="650"/>
      <c r="G26" s="1014"/>
      <c r="H26" s="1067"/>
      <c r="I26" s="1012">
        <f t="shared" si="0"/>
        <v>0</v>
      </c>
    </row>
    <row r="27" spans="1:9" ht="19.5">
      <c r="A27" s="61"/>
      <c r="B27" s="62"/>
      <c r="C27" s="60"/>
      <c r="D27" s="60"/>
      <c r="E27" s="128"/>
      <c r="F27" s="650"/>
      <c r="G27" s="1014"/>
      <c r="H27" s="1067"/>
      <c r="I27" s="1012">
        <f t="shared" si="0"/>
        <v>0</v>
      </c>
    </row>
    <row r="28" spans="1:9" ht="19.5">
      <c r="A28" s="61"/>
      <c r="B28" s="62"/>
      <c r="C28" s="60"/>
      <c r="D28" s="60"/>
      <c r="E28" s="128"/>
      <c r="F28" s="650"/>
      <c r="G28" s="1014"/>
      <c r="H28" s="1067"/>
      <c r="I28" s="1012">
        <f t="shared" si="0"/>
        <v>0</v>
      </c>
    </row>
    <row r="29" spans="1:9" ht="19.5">
      <c r="A29" s="61"/>
      <c r="B29" s="62"/>
      <c r="C29" s="60"/>
      <c r="D29" s="60"/>
      <c r="E29" s="128"/>
      <c r="F29" s="650"/>
      <c r="G29" s="1014"/>
      <c r="H29" s="1067"/>
      <c r="I29" s="1012">
        <f t="shared" si="0"/>
        <v>0</v>
      </c>
    </row>
    <row r="30" spans="1:9" ht="19.5">
      <c r="A30" s="61">
        <f>+A23+1</f>
        <v>5</v>
      </c>
      <c r="B30" s="62"/>
      <c r="C30" s="60" t="s">
        <v>612</v>
      </c>
      <c r="D30" s="60"/>
      <c r="E30" s="128">
        <f>SUM(F31:F36)</f>
        <v>0</v>
      </c>
      <c r="F30" s="80"/>
      <c r="G30" s="70"/>
      <c r="I30" s="1066">
        <f>SUM(I31:I36)</f>
        <v>0</v>
      </c>
    </row>
    <row r="31" spans="1:9" ht="19.5">
      <c r="A31" s="61"/>
      <c r="B31" s="62"/>
      <c r="C31" s="60"/>
      <c r="D31" s="1318"/>
      <c r="E31" s="128"/>
      <c r="F31" s="1067">
        <v>0</v>
      </c>
      <c r="G31" s="1014"/>
      <c r="H31" s="1013">
        <f>'WS H-p1 Other Taxes'!G59</f>
        <v>1</v>
      </c>
      <c r="I31" s="1012">
        <f t="shared" ref="I31:I36" si="1">F31*H31</f>
        <v>0</v>
      </c>
    </row>
    <row r="32" spans="1:9" ht="19.5">
      <c r="A32" s="61"/>
      <c r="B32" s="62"/>
      <c r="C32" s="60"/>
      <c r="D32" s="1318"/>
      <c r="E32" s="128"/>
      <c r="F32" s="1067"/>
      <c r="G32" s="1014"/>
      <c r="H32" s="1013"/>
      <c r="I32" s="1012">
        <f t="shared" si="1"/>
        <v>0</v>
      </c>
    </row>
    <row r="33" spans="1:9" ht="19.5">
      <c r="A33" s="61"/>
      <c r="B33" s="62"/>
      <c r="C33" s="60"/>
      <c r="D33" s="1318"/>
      <c r="E33" s="128"/>
      <c r="F33" s="1067"/>
      <c r="G33" s="1014"/>
      <c r="H33" s="1013"/>
      <c r="I33" s="1012">
        <f t="shared" si="1"/>
        <v>0</v>
      </c>
    </row>
    <row r="34" spans="1:9" ht="19.5">
      <c r="A34" s="61"/>
      <c r="B34" s="62"/>
      <c r="C34" s="60"/>
      <c r="D34" s="1318"/>
      <c r="E34" s="128"/>
      <c r="F34" s="1067"/>
      <c r="G34" s="1014"/>
      <c r="H34" s="1013"/>
      <c r="I34" s="1012">
        <f t="shared" si="1"/>
        <v>0</v>
      </c>
    </row>
    <row r="35" spans="1:9" ht="19.5">
      <c r="A35" s="61"/>
      <c r="B35" s="62"/>
      <c r="C35" s="60"/>
      <c r="D35" s="60"/>
      <c r="E35" s="128"/>
      <c r="F35" s="1067"/>
      <c r="G35" s="1014"/>
      <c r="H35" s="1067"/>
      <c r="I35" s="1012">
        <f t="shared" si="1"/>
        <v>0</v>
      </c>
    </row>
    <row r="36" spans="1:9" ht="19.5">
      <c r="A36" s="61"/>
      <c r="B36" s="62"/>
      <c r="C36" s="60"/>
      <c r="D36" s="60"/>
      <c r="E36" s="128"/>
      <c r="F36" s="1067"/>
      <c r="G36" s="1014"/>
      <c r="H36" s="1067"/>
      <c r="I36" s="1012">
        <f t="shared" si="1"/>
        <v>0</v>
      </c>
    </row>
    <row r="37" spans="1:9" ht="19.5">
      <c r="A37" s="61">
        <f>+A30+1</f>
        <v>6</v>
      </c>
      <c r="B37" s="62"/>
      <c r="C37" s="60" t="s">
        <v>613</v>
      </c>
      <c r="D37" s="1318"/>
      <c r="E37" s="128">
        <f>SUM(F38:F42)</f>
        <v>451658.26</v>
      </c>
      <c r="F37" s="70"/>
      <c r="I37" s="1066">
        <f>SUM(I38:I42)</f>
        <v>451658.26</v>
      </c>
    </row>
    <row r="38" spans="1:9" ht="19.5">
      <c r="A38" s="61"/>
      <c r="B38" s="62"/>
      <c r="C38" s="60"/>
      <c r="D38" s="1318">
        <v>2023</v>
      </c>
      <c r="E38" s="128"/>
      <c r="F38" s="1067">
        <v>-202431.74</v>
      </c>
      <c r="G38" s="1014" t="s">
        <v>1056</v>
      </c>
      <c r="H38" s="1013">
        <f>'WS H-p1 Other Taxes'!G69</f>
        <v>1</v>
      </c>
      <c r="I38" s="1012">
        <f>F38*H38</f>
        <v>-202431.74</v>
      </c>
    </row>
    <row r="39" spans="1:9" ht="19.5">
      <c r="A39" s="61"/>
      <c r="B39" s="62"/>
      <c r="C39" s="60"/>
      <c r="D39" s="1318">
        <v>2024</v>
      </c>
      <c r="E39" s="128"/>
      <c r="F39" s="1067">
        <v>654090</v>
      </c>
      <c r="G39" s="1014" t="s">
        <v>1056</v>
      </c>
      <c r="H39" s="1013">
        <f>'WS H-p1 Other Taxes'!G69</f>
        <v>1</v>
      </c>
      <c r="I39" s="1012">
        <f>F39*H39</f>
        <v>654090</v>
      </c>
    </row>
    <row r="40" spans="1:9" ht="19.5">
      <c r="A40" s="61"/>
      <c r="B40" s="62"/>
      <c r="C40" s="60"/>
      <c r="D40" s="1318"/>
      <c r="E40" s="128"/>
      <c r="F40" s="1067"/>
      <c r="G40" s="1014"/>
      <c r="H40" s="1013"/>
      <c r="I40" s="1012">
        <f>F40*H40</f>
        <v>0</v>
      </c>
    </row>
    <row r="41" spans="1:9" ht="19.5">
      <c r="A41" s="61"/>
      <c r="B41" s="62"/>
      <c r="C41" s="60"/>
      <c r="D41" s="1318"/>
      <c r="E41" s="128"/>
      <c r="F41" s="1067"/>
      <c r="G41" s="1014"/>
      <c r="H41" s="1013"/>
      <c r="I41" s="1012">
        <f>F41*H41</f>
        <v>0</v>
      </c>
    </row>
    <row r="42" spans="1:9" ht="19.5">
      <c r="A42" s="61"/>
      <c r="B42" s="62"/>
      <c r="C42" s="60"/>
      <c r="D42" s="1318"/>
      <c r="E42" s="128"/>
      <c r="F42" s="1067"/>
      <c r="G42" s="1014"/>
      <c r="H42" s="1013"/>
      <c r="I42" s="1012">
        <f>F42*H42</f>
        <v>0</v>
      </c>
    </row>
    <row r="43" spans="1:9" ht="19.5">
      <c r="A43" s="61">
        <f>+A37+1</f>
        <v>7</v>
      </c>
      <c r="B43" s="62"/>
      <c r="C43" s="60" t="s">
        <v>243</v>
      </c>
      <c r="D43" s="105"/>
      <c r="E43" s="128">
        <f>+F44</f>
        <v>0</v>
      </c>
      <c r="F43" s="125"/>
      <c r="I43" s="1066">
        <f>SUM(I44)</f>
        <v>0</v>
      </c>
    </row>
    <row r="44" spans="1:9" ht="19.5">
      <c r="A44" s="61"/>
      <c r="B44" s="62"/>
      <c r="C44" s="60"/>
      <c r="D44" s="105"/>
      <c r="E44" s="128"/>
      <c r="F44" s="1067"/>
      <c r="G44" s="1014"/>
      <c r="H44" s="1067"/>
      <c r="I44" s="1012">
        <f>F44*H44</f>
        <v>0</v>
      </c>
    </row>
    <row r="45" spans="1:9" ht="19.5">
      <c r="A45" s="1068"/>
      <c r="B45" s="1069"/>
      <c r="C45" s="1070"/>
      <c r="D45" s="1011"/>
      <c r="E45" s="1071"/>
      <c r="F45" s="1010"/>
      <c r="G45" s="1009"/>
      <c r="H45" s="1009"/>
      <c r="I45" s="1009"/>
    </row>
    <row r="46" spans="1:9" ht="23.25" customHeight="1">
      <c r="A46" s="61"/>
      <c r="B46" s="62"/>
      <c r="C46" s="60"/>
      <c r="D46" s="105"/>
      <c r="E46" s="128"/>
      <c r="F46" s="125"/>
    </row>
    <row r="47" spans="1:9" ht="18">
      <c r="A47" s="61"/>
      <c r="B47" s="62"/>
      <c r="C47" s="19" t="s">
        <v>454</v>
      </c>
      <c r="E47" s="19" t="s">
        <v>455</v>
      </c>
      <c r="F47" s="116" t="s">
        <v>456</v>
      </c>
      <c r="G47" s="116" t="s">
        <v>457</v>
      </c>
    </row>
    <row r="48" spans="1:9" ht="18">
      <c r="A48" s="96"/>
      <c r="B48" s="97"/>
      <c r="C48" s="97"/>
      <c r="D48" s="97"/>
      <c r="E48"/>
      <c r="F48" s="7"/>
      <c r="G48" s="117"/>
    </row>
    <row r="49" spans="1:7" ht="18">
      <c r="A49" s="96" t="s">
        <v>461</v>
      </c>
      <c r="B49" s="97"/>
      <c r="C49" s="97"/>
      <c r="D49" s="97"/>
      <c r="E49" s="98" t="s">
        <v>412</v>
      </c>
      <c r="F49" s="118" t="s">
        <v>2</v>
      </c>
      <c r="G49" s="119"/>
    </row>
    <row r="50" spans="1:7" ht="18">
      <c r="A50" s="99" t="s">
        <v>411</v>
      </c>
      <c r="B50" s="120"/>
      <c r="C50" s="99" t="s">
        <v>260</v>
      </c>
      <c r="D50" s="120"/>
      <c r="E50" s="100" t="s">
        <v>475</v>
      </c>
      <c r="F50" s="99" t="s">
        <v>3</v>
      </c>
      <c r="G50" s="100" t="s">
        <v>4</v>
      </c>
    </row>
    <row r="51" spans="1:7" ht="19.5">
      <c r="A51" s="61"/>
      <c r="B51" s="62"/>
      <c r="C51" s="65"/>
      <c r="D51" s="62"/>
      <c r="E51" s="129"/>
    </row>
    <row r="52" spans="1:7" ht="19.5">
      <c r="A52" s="61">
        <f>+A43+1</f>
        <v>8</v>
      </c>
      <c r="B52" s="62"/>
      <c r="C52" s="64" t="s">
        <v>120</v>
      </c>
      <c r="D52" s="62"/>
      <c r="E52" s="129"/>
      <c r="F52" s="126"/>
      <c r="G52" s="70"/>
    </row>
    <row r="53" spans="1:7" ht="19.5">
      <c r="A53" s="61">
        <f>+A52+1</f>
        <v>9</v>
      </c>
      <c r="B53" s="62"/>
      <c r="C53" s="60" t="s">
        <v>116</v>
      </c>
      <c r="D53" s="62"/>
      <c r="E53" s="128">
        <f>+F54</f>
        <v>0</v>
      </c>
      <c r="F53" s="70"/>
      <c r="G53" s="70"/>
    </row>
    <row r="54" spans="1:7" ht="19.5">
      <c r="A54" s="61"/>
      <c r="B54" s="62"/>
      <c r="C54" s="60"/>
      <c r="D54" s="62"/>
      <c r="E54" s="128"/>
      <c r="F54" s="650"/>
      <c r="G54" s="124"/>
    </row>
    <row r="55" spans="1:7" ht="19.5">
      <c r="A55" s="61">
        <f>+A53+1</f>
        <v>10</v>
      </c>
      <c r="B55" s="62"/>
      <c r="C55" s="60" t="s">
        <v>109</v>
      </c>
      <c r="D55" s="62"/>
      <c r="E55" s="128">
        <f>+F56</f>
        <v>0</v>
      </c>
      <c r="F55" s="70"/>
      <c r="G55" s="70"/>
    </row>
    <row r="56" spans="1:7" ht="19.5">
      <c r="A56" s="61"/>
      <c r="B56" s="62"/>
      <c r="C56" s="60"/>
      <c r="D56" s="62"/>
      <c r="E56" s="128"/>
      <c r="F56" s="650"/>
      <c r="G56" s="124" t="s">
        <v>408</v>
      </c>
    </row>
    <row r="57" spans="1:7" ht="19.5">
      <c r="A57" s="61">
        <f>+A55+1</f>
        <v>11</v>
      </c>
      <c r="B57" s="62"/>
      <c r="C57" s="60" t="s">
        <v>110</v>
      </c>
      <c r="D57" s="62"/>
      <c r="E57" s="128">
        <f>+F58+F59+F60</f>
        <v>0</v>
      </c>
      <c r="F57" s="70"/>
      <c r="G57" s="70"/>
    </row>
    <row r="58" spans="1:7" ht="19.5">
      <c r="A58" s="61" t="s">
        <v>408</v>
      </c>
      <c r="B58" s="62"/>
      <c r="C58" s="57"/>
      <c r="D58" s="62"/>
      <c r="E58" s="129"/>
      <c r="F58" s="650"/>
      <c r="G58" s="124" t="s">
        <v>408</v>
      </c>
    </row>
    <row r="59" spans="1:7" ht="19.5">
      <c r="A59" s="61"/>
      <c r="B59" s="62"/>
      <c r="C59" s="57"/>
      <c r="D59" s="62"/>
      <c r="E59" s="129"/>
      <c r="F59" s="650"/>
      <c r="G59" s="124" t="s">
        <v>408</v>
      </c>
    </row>
    <row r="60" spans="1:7" ht="19.5">
      <c r="A60" s="61"/>
      <c r="B60" s="62"/>
      <c r="C60" s="57"/>
      <c r="D60" s="62"/>
      <c r="E60" s="129"/>
      <c r="F60" s="650"/>
      <c r="G60" s="124" t="s">
        <v>408</v>
      </c>
    </row>
    <row r="61" spans="1:7" ht="19.5">
      <c r="A61" s="61">
        <f>A57+1</f>
        <v>12</v>
      </c>
      <c r="B61" s="62"/>
      <c r="C61" s="135" t="s">
        <v>315</v>
      </c>
      <c r="D61" s="62"/>
      <c r="E61" s="134"/>
      <c r="F61" s="70"/>
      <c r="G61" s="70" t="s">
        <v>408</v>
      </c>
    </row>
    <row r="62" spans="1:7" ht="19.5">
      <c r="A62" s="61">
        <f>A61+1</f>
        <v>13</v>
      </c>
      <c r="B62" s="62"/>
      <c r="C62" s="70" t="s">
        <v>214</v>
      </c>
      <c r="D62" s="105"/>
      <c r="E62" s="128">
        <f>+F63</f>
        <v>0</v>
      </c>
      <c r="G62" s="70"/>
    </row>
    <row r="63" spans="1:7" ht="19.5">
      <c r="A63" s="61"/>
      <c r="B63" s="62"/>
      <c r="C63" s="57"/>
      <c r="D63" s="62"/>
      <c r="E63" s="129"/>
      <c r="F63" s="650"/>
      <c r="G63" s="70"/>
    </row>
    <row r="64" spans="1:7" ht="19.5">
      <c r="A64" s="67">
        <f>A62+1</f>
        <v>14</v>
      </c>
      <c r="B64" s="68"/>
      <c r="C64" s="64" t="s">
        <v>117</v>
      </c>
      <c r="D64" s="69"/>
      <c r="E64" s="129"/>
      <c r="F64" s="123"/>
      <c r="G64" s="70"/>
    </row>
    <row r="65" spans="1:7" ht="19.5">
      <c r="A65" s="67">
        <f>A64+1</f>
        <v>15</v>
      </c>
      <c r="B65" s="68"/>
      <c r="C65" s="57" t="s">
        <v>213</v>
      </c>
      <c r="D65" s="69"/>
      <c r="E65" s="128">
        <f>+F66+F67</f>
        <v>0</v>
      </c>
      <c r="F65" s="70"/>
      <c r="G65" s="70"/>
    </row>
    <row r="66" spans="1:7" ht="19.5">
      <c r="A66" s="67"/>
      <c r="B66" s="68"/>
      <c r="C66" s="57"/>
      <c r="D66" s="69"/>
      <c r="E66" s="128"/>
      <c r="F66" s="650"/>
      <c r="G66" s="124" t="s">
        <v>408</v>
      </c>
    </row>
    <row r="67" spans="1:7" ht="19.5">
      <c r="A67" s="67"/>
      <c r="B67" s="68"/>
      <c r="C67" s="57"/>
      <c r="D67" s="69"/>
      <c r="E67" s="128"/>
      <c r="F67" s="650"/>
      <c r="G67" s="124" t="s">
        <v>408</v>
      </c>
    </row>
    <row r="68" spans="1:7" ht="19.5">
      <c r="A68" s="61">
        <f>A65+1</f>
        <v>16</v>
      </c>
      <c r="B68" s="62"/>
      <c r="C68" s="57" t="s">
        <v>111</v>
      </c>
      <c r="D68" s="62"/>
      <c r="E68" s="80">
        <f>+F69+F70+F71</f>
        <v>0</v>
      </c>
      <c r="F68" s="70"/>
      <c r="G68" s="70" t="s">
        <v>408</v>
      </c>
    </row>
    <row r="69" spans="1:7" ht="19.5">
      <c r="A69" s="61"/>
      <c r="B69" s="62"/>
      <c r="C69" s="57"/>
      <c r="D69" s="62"/>
      <c r="E69" s="80"/>
      <c r="F69" s="650"/>
      <c r="G69" s="124" t="s">
        <v>408</v>
      </c>
    </row>
    <row r="70" spans="1:7" ht="19.5">
      <c r="A70" s="61"/>
      <c r="B70" s="62"/>
      <c r="C70" s="57"/>
      <c r="D70" s="62"/>
      <c r="E70" s="80"/>
      <c r="F70" s="650"/>
      <c r="G70" s="124" t="s">
        <v>408</v>
      </c>
    </row>
    <row r="71" spans="1:7" ht="19.5">
      <c r="A71" s="61"/>
      <c r="B71" s="62"/>
      <c r="C71" s="57"/>
      <c r="D71" s="62"/>
      <c r="E71" s="80"/>
      <c r="F71" s="650"/>
      <c r="G71" s="124" t="s">
        <v>408</v>
      </c>
    </row>
    <row r="72" spans="1:7" ht="19.5">
      <c r="A72" s="61">
        <f>+A68+1</f>
        <v>17</v>
      </c>
      <c r="B72" s="62"/>
      <c r="C72" s="57" t="s">
        <v>112</v>
      </c>
      <c r="D72"/>
      <c r="E72" s="80">
        <f>SUM(F73:F83)</f>
        <v>-638972</v>
      </c>
      <c r="F72" s="70"/>
      <c r="G72" s="70" t="s">
        <v>408</v>
      </c>
    </row>
    <row r="73" spans="1:7" ht="19.5">
      <c r="A73" s="61"/>
      <c r="B73" s="62"/>
      <c r="C73" s="57"/>
      <c r="D73" s="62"/>
      <c r="E73" s="80"/>
      <c r="F73" s="650">
        <v>-638972</v>
      </c>
      <c r="G73" s="124" t="s">
        <v>1057</v>
      </c>
    </row>
    <row r="74" spans="1:7" ht="19.5">
      <c r="A74" s="61"/>
      <c r="B74" s="62"/>
      <c r="C74" s="57"/>
      <c r="D74" s="62"/>
      <c r="E74" s="80"/>
      <c r="F74" s="1067"/>
      <c r="G74" s="124"/>
    </row>
    <row r="75" spans="1:7" ht="19.5">
      <c r="A75" s="61"/>
      <c r="B75" s="62"/>
      <c r="C75" s="57"/>
      <c r="D75" s="62"/>
      <c r="E75" s="80"/>
      <c r="F75" s="1067"/>
      <c r="G75" s="124"/>
    </row>
    <row r="76" spans="1:7" ht="19.5">
      <c r="A76" s="61"/>
      <c r="B76" s="62"/>
      <c r="C76" s="57"/>
      <c r="D76" s="62"/>
      <c r="E76" s="80"/>
      <c r="F76" s="1067"/>
      <c r="G76" s="124"/>
    </row>
    <row r="77" spans="1:7" ht="19.5">
      <c r="A77" s="61"/>
      <c r="B77" s="62"/>
      <c r="C77" s="57"/>
      <c r="D77" s="62"/>
      <c r="E77" s="80"/>
      <c r="F77" s="1067"/>
      <c r="G77" s="124"/>
    </row>
    <row r="78" spans="1:7" ht="19.5">
      <c r="A78" s="61"/>
      <c r="B78" s="62"/>
      <c r="C78" s="57"/>
      <c r="D78" s="62"/>
      <c r="E78" s="80"/>
      <c r="F78" s="650"/>
      <c r="G78" s="124" t="s">
        <v>408</v>
      </c>
    </row>
    <row r="79" spans="1:7" ht="19.5">
      <c r="A79" s="61"/>
      <c r="B79" s="62"/>
      <c r="C79" s="57"/>
      <c r="D79"/>
      <c r="E79" s="80"/>
      <c r="F79" s="650"/>
      <c r="G79" s="124" t="s">
        <v>408</v>
      </c>
    </row>
    <row r="80" spans="1:7" ht="19.5">
      <c r="A80" s="61"/>
      <c r="B80" s="62"/>
      <c r="C80" s="57"/>
      <c r="D80"/>
      <c r="E80" s="80"/>
      <c r="F80" s="650"/>
      <c r="G80" s="124" t="s">
        <v>408</v>
      </c>
    </row>
    <row r="81" spans="1:7" ht="19.5">
      <c r="A81" s="61"/>
      <c r="B81" s="62"/>
      <c r="C81" s="57"/>
      <c r="D81"/>
      <c r="E81" s="80"/>
      <c r="F81" s="650"/>
      <c r="G81" s="124" t="s">
        <v>408</v>
      </c>
    </row>
    <row r="82" spans="1:7" ht="19.5">
      <c r="A82" s="61"/>
      <c r="B82" s="62"/>
      <c r="C82" s="57"/>
      <c r="D82"/>
      <c r="E82" s="80"/>
      <c r="F82" s="650"/>
      <c r="G82" s="124" t="s">
        <v>408</v>
      </c>
    </row>
    <row r="83" spans="1:7" ht="19.5">
      <c r="A83" s="61"/>
      <c r="B83" s="62"/>
      <c r="C83" s="57"/>
      <c r="D83"/>
      <c r="E83" s="80"/>
      <c r="F83" s="650"/>
      <c r="G83" s="124" t="s">
        <v>408</v>
      </c>
    </row>
    <row r="84" spans="1:7" ht="19.5">
      <c r="A84" s="61">
        <f>+A72+1</f>
        <v>18</v>
      </c>
      <c r="B84" s="62"/>
      <c r="C84" s="57" t="s">
        <v>113</v>
      </c>
      <c r="D84"/>
      <c r="E84" s="80">
        <f>F85</f>
        <v>0</v>
      </c>
      <c r="F84" s="70"/>
      <c r="G84" s="70"/>
    </row>
    <row r="85" spans="1:7" ht="19.5">
      <c r="A85" s="61"/>
      <c r="B85" s="62"/>
      <c r="C85" s="57"/>
      <c r="D85"/>
      <c r="E85" s="80"/>
      <c r="F85" s="650"/>
      <c r="G85" s="124"/>
    </row>
    <row r="86" spans="1:7" ht="19.5">
      <c r="A86" s="61"/>
      <c r="B86" s="62"/>
      <c r="C86" s="57"/>
      <c r="D86"/>
      <c r="E86" s="80"/>
      <c r="F86" s="650"/>
      <c r="G86" s="124"/>
    </row>
    <row r="87" spans="1:7" ht="19.5">
      <c r="A87" s="61"/>
      <c r="B87" s="62"/>
      <c r="C87" s="57"/>
      <c r="D87"/>
      <c r="E87" s="80"/>
      <c r="F87" s="650"/>
      <c r="G87" s="124"/>
    </row>
    <row r="88" spans="1:7" ht="19.5">
      <c r="A88" s="61"/>
      <c r="B88" s="62"/>
      <c r="C88" s="57"/>
      <c r="D88"/>
      <c r="E88" s="80"/>
      <c r="F88" s="650"/>
      <c r="G88" s="124"/>
    </row>
    <row r="89" spans="1:7" ht="19.5">
      <c r="A89" s="61">
        <f>+A84+1</f>
        <v>19</v>
      </c>
      <c r="B89" s="62"/>
      <c r="C89" s="57" t="s">
        <v>114</v>
      </c>
      <c r="D89" s="62"/>
      <c r="E89" s="80">
        <f>SUM(F90:F91)</f>
        <v>0</v>
      </c>
      <c r="F89" s="70"/>
      <c r="G89" s="70"/>
    </row>
    <row r="90" spans="1:7" ht="19.5">
      <c r="A90" s="61"/>
      <c r="B90" s="62"/>
      <c r="C90" s="57"/>
      <c r="D90" s="62"/>
      <c r="E90" s="80"/>
      <c r="F90" s="1067"/>
      <c r="G90" s="124"/>
    </row>
    <row r="91" spans="1:7" ht="19.5">
      <c r="A91" s="61"/>
      <c r="B91" s="62"/>
      <c r="C91" s="57"/>
      <c r="D91" s="62"/>
      <c r="E91" s="80"/>
      <c r="F91" s="650"/>
      <c r="G91" s="124"/>
    </row>
    <row r="92" spans="1:7" ht="19.5">
      <c r="A92" s="61"/>
      <c r="B92" s="62"/>
      <c r="C92" s="57"/>
      <c r="D92" s="62"/>
      <c r="E92" s="80"/>
      <c r="F92" s="152"/>
      <c r="G92" s="70"/>
    </row>
    <row r="93" spans="1:7" ht="19.5">
      <c r="A93" s="61">
        <f>+A89+1</f>
        <v>20</v>
      </c>
      <c r="B93" s="62"/>
      <c r="C93" s="57" t="s">
        <v>115</v>
      </c>
      <c r="D93" s="62"/>
      <c r="E93" s="80">
        <f>SUM(F94:F98)</f>
        <v>0</v>
      </c>
      <c r="F93" s="70"/>
      <c r="G93" s="124"/>
    </row>
    <row r="94" spans="1:7" ht="19.5">
      <c r="A94" s="61"/>
      <c r="B94" s="62"/>
      <c r="C94" s="57"/>
      <c r="D94" s="62"/>
      <c r="E94" s="80"/>
      <c r="F94" s="650"/>
      <c r="G94" s="124"/>
    </row>
    <row r="95" spans="1:7" ht="19.5">
      <c r="A95" s="61"/>
      <c r="B95" s="62"/>
      <c r="C95" s="57"/>
      <c r="D95" s="62"/>
      <c r="E95" s="80"/>
      <c r="F95" s="650"/>
      <c r="G95" s="124"/>
    </row>
    <row r="96" spans="1:7" ht="19.5">
      <c r="A96" s="61"/>
      <c r="B96" s="62"/>
      <c r="C96" s="57"/>
      <c r="D96" s="62"/>
      <c r="E96" s="80"/>
      <c r="F96" s="650"/>
      <c r="G96" s="124" t="s">
        <v>408</v>
      </c>
    </row>
    <row r="97" spans="1:7" ht="19.5">
      <c r="A97" s="61"/>
      <c r="B97" s="62"/>
      <c r="C97" s="57"/>
      <c r="D97" s="62"/>
      <c r="E97" s="80"/>
      <c r="F97" s="650"/>
      <c r="G97" s="124" t="s">
        <v>408</v>
      </c>
    </row>
    <row r="98" spans="1:7" ht="19.5">
      <c r="A98" s="61"/>
      <c r="B98" s="62"/>
      <c r="C98" s="57"/>
      <c r="D98" s="62"/>
      <c r="E98" s="80"/>
      <c r="F98" s="650"/>
      <c r="G98" s="124" t="s">
        <v>408</v>
      </c>
    </row>
    <row r="99" spans="1:7" ht="19.5">
      <c r="A99" s="61">
        <f>+A93+1</f>
        <v>21</v>
      </c>
      <c r="B99" s="57"/>
      <c r="C99" s="57" t="s">
        <v>104</v>
      </c>
      <c r="D99" s="57"/>
      <c r="E99" s="80">
        <f>SUM(F100:F101)</f>
        <v>0</v>
      </c>
      <c r="F99" s="127"/>
      <c r="G99" s="124" t="s">
        <v>408</v>
      </c>
    </row>
    <row r="100" spans="1:7" ht="19.5">
      <c r="A100" s="61"/>
      <c r="B100" s="57"/>
      <c r="C100" s="57"/>
      <c r="D100" s="57"/>
      <c r="E100" s="122"/>
      <c r="F100" s="650"/>
      <c r="G100" s="124" t="s">
        <v>408</v>
      </c>
    </row>
    <row r="101" spans="1:7" ht="19.5">
      <c r="A101" s="61"/>
      <c r="B101" s="57"/>
      <c r="C101" s="57"/>
      <c r="D101" s="57"/>
      <c r="E101" s="122"/>
      <c r="F101" s="650"/>
      <c r="G101" s="124" t="s">
        <v>408</v>
      </c>
    </row>
    <row r="102" spans="1:7" ht="19.5">
      <c r="A102" s="61">
        <f>+A99+1</f>
        <v>22</v>
      </c>
      <c r="B102" s="57"/>
      <c r="C102" s="74" t="s">
        <v>400</v>
      </c>
      <c r="D102" s="70"/>
      <c r="E102" s="128">
        <f>+F103</f>
        <v>0</v>
      </c>
      <c r="G102" s="70"/>
    </row>
    <row r="103" spans="1:7" ht="19.5">
      <c r="A103" s="61"/>
      <c r="B103" s="57"/>
      <c r="C103" s="74"/>
      <c r="D103" s="70"/>
      <c r="E103" s="129"/>
      <c r="F103" s="650"/>
      <c r="G103" s="70"/>
    </row>
    <row r="104" spans="1:7" ht="19.5">
      <c r="A104" s="4"/>
      <c r="B104" s="115"/>
      <c r="C104" s="115"/>
      <c r="D104"/>
      <c r="E104"/>
      <c r="F104" s="127"/>
      <c r="G104" s="70"/>
    </row>
    <row r="105" spans="1:7" ht="20.25" thickBot="1">
      <c r="A105" s="112">
        <f>+A102+1</f>
        <v>23</v>
      </c>
      <c r="B105" s="115"/>
      <c r="C105" s="57" t="s">
        <v>108</v>
      </c>
      <c r="D105"/>
      <c r="E105" s="73">
        <f>E93+E22+E72+E84+E89+E53+E55+E57+E62+E65+E68+E99+E102</f>
        <v>-187313.74</v>
      </c>
      <c r="F105" s="73">
        <f>SUM(F14:F103)</f>
        <v>-187313.74</v>
      </c>
      <c r="G105" s="70"/>
    </row>
    <row r="106" spans="1:7" ht="20.25" thickTop="1">
      <c r="A106" s="4"/>
      <c r="B106" s="115"/>
      <c r="C106" s="57" t="s">
        <v>173</v>
      </c>
      <c r="D106"/>
      <c r="E106"/>
      <c r="F106" s="70"/>
      <c r="G106" s="70"/>
    </row>
    <row r="107" spans="1:7" ht="19.5">
      <c r="A107" s="4"/>
      <c r="B107" s="115"/>
      <c r="C107" s="57"/>
      <c r="D107"/>
      <c r="E107"/>
      <c r="F107" s="80" t="s">
        <v>408</v>
      </c>
      <c r="G107" s="70"/>
    </row>
    <row r="108" spans="1:7" ht="21.75" customHeight="1">
      <c r="A108" s="1511" t="s">
        <v>770</v>
      </c>
      <c r="B108" s="1511"/>
      <c r="C108" s="1511"/>
      <c r="D108" s="1511"/>
      <c r="E108" s="1511"/>
      <c r="F108" s="1511"/>
      <c r="G108" s="1511"/>
    </row>
    <row r="109" spans="1:7" ht="21.75" customHeight="1">
      <c r="A109" s="1511"/>
      <c r="B109" s="1511"/>
      <c r="C109" s="1511"/>
      <c r="D109" s="1511"/>
      <c r="E109" s="1511"/>
      <c r="F109" s="1511"/>
      <c r="G109" s="1511"/>
    </row>
    <row r="110" spans="1:7" ht="21.75" customHeight="1">
      <c r="A110" s="1511"/>
      <c r="B110" s="1511"/>
      <c r="C110" s="1511"/>
      <c r="D110" s="1511"/>
      <c r="E110" s="1511"/>
      <c r="F110" s="1511"/>
      <c r="G110" s="1511"/>
    </row>
    <row r="111" spans="1:7" ht="21.75" customHeight="1">
      <c r="A111" s="1511"/>
      <c r="B111" s="1511"/>
      <c r="C111" s="1511"/>
      <c r="D111" s="1511"/>
      <c r="E111" s="1511"/>
      <c r="F111" s="1511"/>
      <c r="G111" s="1511"/>
    </row>
    <row r="112" spans="1:7" ht="21.75" customHeight="1">
      <c r="A112" s="1511"/>
      <c r="B112" s="1511"/>
      <c r="C112" s="1511"/>
      <c r="D112" s="1511"/>
      <c r="E112" s="1511"/>
      <c r="F112" s="1511"/>
      <c r="G112" s="1511"/>
    </row>
    <row r="113" spans="1:7" ht="19.5">
      <c r="A113" s="1259"/>
      <c r="B113" s="79"/>
      <c r="C113" s="79"/>
      <c r="D113" s="79"/>
      <c r="E113" s="1260"/>
      <c r="F113" s="70"/>
      <c r="G113" s="70"/>
    </row>
    <row r="114" spans="1:7" ht="30" customHeight="1">
      <c r="A114" s="1509" t="s">
        <v>697</v>
      </c>
      <c r="B114" s="1509"/>
      <c r="C114" s="1509"/>
      <c r="D114" s="1509"/>
      <c r="E114" s="1509"/>
      <c r="F114" s="1509"/>
      <c r="G114" s="1509"/>
    </row>
    <row r="115" spans="1:7" ht="30" customHeight="1">
      <c r="A115" s="1509"/>
      <c r="B115" s="1509"/>
      <c r="C115" s="1509"/>
      <c r="D115" s="1509"/>
      <c r="E115" s="1509"/>
      <c r="F115" s="1509"/>
      <c r="G115" s="1509"/>
    </row>
    <row r="116" spans="1:7" ht="19.5">
      <c r="B116" s="79"/>
      <c r="F116" s="127"/>
      <c r="G116" s="70"/>
    </row>
    <row r="117" spans="1:7" ht="19.5">
      <c r="B117" s="79"/>
      <c r="F117" s="127"/>
      <c r="G117" s="70"/>
    </row>
    <row r="118" spans="1:7" ht="19.5">
      <c r="B118" s="79"/>
      <c r="F118" s="70"/>
      <c r="G118" s="122"/>
    </row>
    <row r="119" spans="1:7" ht="19.5">
      <c r="B119" s="79"/>
      <c r="F119" s="70"/>
      <c r="G119" s="122"/>
    </row>
    <row r="120" spans="1:7" ht="19.5">
      <c r="B120" s="79"/>
      <c r="F120" s="70"/>
      <c r="G120" s="122"/>
    </row>
    <row r="121" spans="1:7" ht="19.5">
      <c r="B121" s="79"/>
      <c r="F121" s="70"/>
      <c r="G121" s="122"/>
    </row>
    <row r="122" spans="1:7">
      <c r="B122" s="79"/>
    </row>
    <row r="123" spans="1:7">
      <c r="B123" s="79"/>
    </row>
    <row r="124" spans="1:7">
      <c r="B124" s="79"/>
    </row>
    <row r="125" spans="1:7">
      <c r="B125" s="79"/>
    </row>
    <row r="126" spans="1:7">
      <c r="B126" s="79"/>
    </row>
    <row r="127" spans="1:7">
      <c r="B127" s="79"/>
    </row>
  </sheetData>
  <mergeCells count="7">
    <mergeCell ref="A114:G115"/>
    <mergeCell ref="H4:M4"/>
    <mergeCell ref="A108:G112"/>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zoomScaleNormal="100" workbookViewId="0">
      <selection activeCell="A4" sqref="D4"/>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4" t="s">
        <v>408</v>
      </c>
    </row>
    <row r="2" spans="1:13" ht="15.75">
      <c r="A2" s="1004" t="s">
        <v>408</v>
      </c>
    </row>
    <row r="3" spans="1:13" ht="18">
      <c r="A3" s="1515" t="str">
        <f>TCOS!$F$5</f>
        <v>AEPTCo subsidiaries in PJM</v>
      </c>
      <c r="B3" s="1515" t="str">
        <f>TCOS!$F$5</f>
        <v>AEPTCo subsidiaries in PJM</v>
      </c>
      <c r="C3" s="1515" t="str">
        <f>TCOS!$F$5</f>
        <v>AEPTCo subsidiaries in PJM</v>
      </c>
      <c r="D3" s="1515" t="str">
        <f>TCOS!$F$5</f>
        <v>AEPTCo subsidiaries in PJM</v>
      </c>
      <c r="E3" s="1515" t="str">
        <f>TCOS!$F$5</f>
        <v>AEPTCo subsidiaries in PJM</v>
      </c>
      <c r="F3" s="1515" t="str">
        <f>TCOS!$F$5</f>
        <v>AEPTCo subsidiaries in PJM</v>
      </c>
      <c r="G3" s="1515" t="str">
        <f>TCOS!$F$5</f>
        <v>AEPTCo subsidiaries in PJM</v>
      </c>
      <c r="H3" s="1515" t="str">
        <f>TCOS!$F$5</f>
        <v>AEPTCo subsidiaries in PJM</v>
      </c>
      <c r="I3" s="1515" t="str">
        <f>TCOS!$F$5</f>
        <v>AEPTCo subsidiaries in PJM</v>
      </c>
      <c r="J3" s="1515" t="str">
        <f>TCOS!$F$5</f>
        <v>AEPTCo subsidiaries in PJM</v>
      </c>
      <c r="K3" s="77"/>
      <c r="L3" s="77"/>
      <c r="M3" s="77"/>
    </row>
    <row r="4" spans="1:13" ht="18">
      <c r="A4" s="1514" t="str">
        <f>"Cost of Service Formula Rate Using Actual/Projected FF1 Balances"</f>
        <v>Cost of Service Formula Rate Using Actual/Projected FF1 Balances</v>
      </c>
      <c r="B4" s="1514"/>
      <c r="C4" s="1514"/>
      <c r="D4" s="1514"/>
      <c r="E4" s="1514"/>
      <c r="F4" s="1514"/>
      <c r="G4" s="1514"/>
      <c r="H4" s="1514"/>
      <c r="I4" s="1514"/>
      <c r="J4" s="1514"/>
      <c r="K4" s="52"/>
      <c r="L4" s="52"/>
      <c r="M4" s="52"/>
    </row>
    <row r="5" spans="1:13" ht="18">
      <c r="A5" s="1514" t="s">
        <v>589</v>
      </c>
      <c r="B5" s="1514"/>
      <c r="C5" s="1514"/>
      <c r="D5" s="1514"/>
      <c r="E5" s="1514"/>
      <c r="F5" s="1514"/>
      <c r="G5" s="1514"/>
      <c r="H5" s="1514"/>
      <c r="I5" s="1514"/>
      <c r="J5" s="1514"/>
      <c r="K5" s="78"/>
      <c r="L5" s="78"/>
      <c r="M5" s="78"/>
    </row>
    <row r="6" spans="1:13" ht="18">
      <c r="A6" s="1506" t="str">
        <f>+TCOS!F9</f>
        <v>AEP Appalachian Transmission Company</v>
      </c>
      <c r="B6" s="1506"/>
      <c r="C6" s="1506"/>
      <c r="D6" s="1506"/>
      <c r="E6" s="1506"/>
      <c r="F6" s="1506"/>
      <c r="G6" s="1506"/>
      <c r="H6" s="1506"/>
      <c r="I6" s="1506"/>
      <c r="J6" s="1506"/>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70"/>
  <sheetViews>
    <sheetView view="pageBreakPreview" zoomScale="60" zoomScaleNormal="100" workbookViewId="0">
      <selection activeCell="A3" sqref="A3:O3"/>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6"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4" t="s">
        <v>408</v>
      </c>
    </row>
    <row r="2" spans="1:16" ht="15.75">
      <c r="A2" s="1004" t="s">
        <v>408</v>
      </c>
    </row>
    <row r="3" spans="1:16" ht="15">
      <c r="A3" s="1464" t="str">
        <f>TCOS!$F$5</f>
        <v>AEPTCo subsidiaries in PJM</v>
      </c>
      <c r="B3" s="1464" t="str">
        <f>TCOS!$F$5</f>
        <v>AEPTCo subsidiaries in PJM</v>
      </c>
      <c r="C3" s="1464" t="str">
        <f>TCOS!$F$5</f>
        <v>AEPTCo subsidiaries in PJM</v>
      </c>
      <c r="D3" s="1464" t="str">
        <f>TCOS!$F$5</f>
        <v>AEPTCo subsidiaries in PJM</v>
      </c>
      <c r="E3" s="1464" t="str">
        <f>TCOS!$F$5</f>
        <v>AEPTCo subsidiaries in PJM</v>
      </c>
      <c r="F3" s="1464" t="str">
        <f>TCOS!$F$5</f>
        <v>AEPTCo subsidiaries in PJM</v>
      </c>
      <c r="G3" s="1464" t="str">
        <f>TCOS!$F$5</f>
        <v>AEPTCo subsidiaries in PJM</v>
      </c>
      <c r="H3" s="1464" t="str">
        <f>TCOS!$F$5</f>
        <v>AEPTCo subsidiaries in PJM</v>
      </c>
      <c r="I3" s="1464" t="str">
        <f>TCOS!$F$5</f>
        <v>AEPTCo subsidiaries in PJM</v>
      </c>
      <c r="J3" s="1464" t="str">
        <f>TCOS!$F$5</f>
        <v>AEPTCo subsidiaries in PJM</v>
      </c>
      <c r="K3" s="1464" t="str">
        <f>TCOS!$F$5</f>
        <v>AEPTCo subsidiaries in PJM</v>
      </c>
      <c r="L3" s="1464" t="str">
        <f>TCOS!$F$5</f>
        <v>AEPTCo subsidiaries in PJM</v>
      </c>
      <c r="M3" s="1464" t="str">
        <f>TCOS!$F$5</f>
        <v>AEPTCo subsidiaries in PJM</v>
      </c>
      <c r="N3" s="1464" t="str">
        <f>TCOS!$F$5</f>
        <v>AEPTCo subsidiaries in PJM</v>
      </c>
      <c r="O3" s="1464" t="str">
        <f>TCOS!$F$5</f>
        <v>AEPTCo subsidiaries in PJM</v>
      </c>
      <c r="P3" s="156"/>
    </row>
    <row r="4" spans="1:16" ht="15">
      <c r="A4" s="1494" t="str">
        <f>"Cost of Service Formula Rate Using Actual/Projected FF1 Balances"</f>
        <v>Cost of Service Formula Rate Using Actual/Projected FF1 Balances</v>
      </c>
      <c r="B4" s="1494"/>
      <c r="C4" s="1494"/>
      <c r="D4" s="1494"/>
      <c r="E4" s="1494"/>
      <c r="F4" s="1494"/>
      <c r="G4" s="1494"/>
      <c r="H4" s="1494"/>
      <c r="I4" s="1494"/>
      <c r="J4" s="1494"/>
      <c r="K4" s="1494"/>
      <c r="L4" s="1494"/>
      <c r="M4" s="1494"/>
      <c r="N4" s="1494"/>
      <c r="O4" s="1494"/>
      <c r="P4" s="156"/>
    </row>
    <row r="5" spans="1:16" ht="15">
      <c r="A5" s="1494" t="s">
        <v>256</v>
      </c>
      <c r="B5" s="1494"/>
      <c r="C5" s="1494"/>
      <c r="D5" s="1494"/>
      <c r="E5" s="1494"/>
      <c r="F5" s="1494"/>
      <c r="G5" s="1494"/>
      <c r="H5" s="1494"/>
      <c r="I5" s="1494"/>
      <c r="J5" s="1494"/>
      <c r="K5" s="1494"/>
      <c r="L5" s="1494"/>
      <c r="M5" s="1494"/>
      <c r="N5" s="1494"/>
      <c r="O5" s="1494"/>
      <c r="P5" s="156"/>
    </row>
    <row r="6" spans="1:16" ht="15">
      <c r="A6" s="1495" t="str">
        <f>TCOS!F9</f>
        <v>AEP Appalachian Transmission Company</v>
      </c>
      <c r="B6" s="1495"/>
      <c r="C6" s="1495"/>
      <c r="D6" s="1495"/>
      <c r="E6" s="1495"/>
      <c r="F6" s="1495"/>
      <c r="G6" s="1495"/>
      <c r="H6" s="1495"/>
      <c r="I6" s="1495"/>
      <c r="J6" s="1495"/>
      <c r="K6" s="1495"/>
      <c r="L6" s="1495"/>
      <c r="M6" s="1495"/>
      <c r="N6" s="1495"/>
      <c r="O6" s="1495"/>
      <c r="P6" s="156"/>
    </row>
    <row r="7" spans="1:16">
      <c r="P7" s="156"/>
    </row>
    <row r="8" spans="1:16" ht="20.25">
      <c r="A8" s="651"/>
      <c r="C8" s="392"/>
      <c r="N8" s="652" t="str">
        <f>"Page "&amp;P8&amp;" of "</f>
        <v xml:space="preserve">Page 1 of </v>
      </c>
      <c r="O8" s="653">
        <f>COUNT(P$8:P$56653)</f>
        <v>2</v>
      </c>
      <c r="P8" s="654">
        <v>1</v>
      </c>
    </row>
    <row r="9" spans="1:16" ht="18">
      <c r="C9" s="655"/>
      <c r="P9" s="156"/>
    </row>
    <row r="10" spans="1:16">
      <c r="P10" s="156"/>
    </row>
    <row r="11" spans="1:16" ht="18">
      <c r="B11" s="656" t="s">
        <v>463</v>
      </c>
      <c r="C11" s="1519" t="str">
        <f>"Calculate Return and Income Taxes with "&amp;F17&amp;" basis point ROE increase for Projects Qualified for Regional Billing."</f>
        <v>Calculate Return and Income Taxes with 0 basis point ROE increase for Projects Qualified for Regional Billing.</v>
      </c>
      <c r="D11" s="1520"/>
      <c r="E11" s="1520"/>
      <c r="F11" s="1520"/>
      <c r="G11" s="1520"/>
      <c r="H11" s="1520"/>
      <c r="P11" s="156"/>
    </row>
    <row r="12" spans="1:16" ht="18.75" customHeight="1">
      <c r="C12" s="1520"/>
      <c r="D12" s="1520"/>
      <c r="E12" s="1520"/>
      <c r="F12" s="1520"/>
      <c r="G12" s="1520"/>
      <c r="H12" s="1520"/>
      <c r="P12" s="156"/>
    </row>
    <row r="13" spans="1:16" ht="15.75" customHeight="1">
      <c r="C13" s="657"/>
      <c r="D13" s="657"/>
      <c r="E13" s="657"/>
      <c r="F13" s="657"/>
      <c r="G13" s="657"/>
      <c r="H13" s="657"/>
      <c r="P13" s="156"/>
    </row>
    <row r="14" spans="1:16" ht="15.75">
      <c r="C14" s="658" t="str">
        <f>"A.   Determine 'R' with hypothetical "&amp;F17&amp;" basis point increase in ROE for Identified Projects"</f>
        <v>A.   Determine 'R' with hypothetical 0 basis point increase in ROE for Identified Projects</v>
      </c>
      <c r="P14" s="156"/>
    </row>
    <row r="15" spans="1:16">
      <c r="P15" s="156"/>
    </row>
    <row r="16" spans="1:16">
      <c r="C16" s="659" t="str">
        <f>"   ROE w/o incentives  (TCOS, ln "&amp;TCOS!B235&amp;")"</f>
        <v xml:space="preserve">   ROE w/o incentives  (TCOS, ln 138)</v>
      </c>
      <c r="E16" s="660"/>
      <c r="F16" s="661">
        <f>TCOS!J235</f>
        <v>0.10349999999999999</v>
      </c>
      <c r="G16" s="660"/>
      <c r="H16" s="662"/>
      <c r="I16" s="662"/>
      <c r="J16" s="663"/>
      <c r="K16" s="662"/>
      <c r="L16" s="662"/>
      <c r="M16" s="662"/>
      <c r="N16" s="662"/>
      <c r="O16" s="662"/>
      <c r="P16" s="663"/>
    </row>
    <row r="17" spans="3:16">
      <c r="C17" s="659" t="s">
        <v>43</v>
      </c>
      <c r="E17" s="660"/>
      <c r="F17" s="804">
        <v>0</v>
      </c>
      <c r="G17" s="664"/>
      <c r="H17" s="662"/>
      <c r="I17" s="662"/>
      <c r="J17" s="663"/>
    </row>
    <row r="18" spans="3:16">
      <c r="C18" s="659" t="str">
        <f>"   ROE with additional "&amp;F17&amp;" basis point incentive"</f>
        <v xml:space="preserve">   ROE with additional 0 basis point incentive</v>
      </c>
      <c r="D18" s="660"/>
      <c r="E18" s="660"/>
      <c r="F18" s="665">
        <f>IF((F16+(F17/10000)&gt;0.1274),"ERROR",F16+(F17/10000))</f>
        <v>0.10349999999999999</v>
      </c>
      <c r="G18" s="666"/>
      <c r="H18" s="662"/>
      <c r="I18" s="662"/>
      <c r="J18" s="663"/>
    </row>
    <row r="19" spans="3:16">
      <c r="C19" s="659"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0"/>
      <c r="F19" s="667"/>
      <c r="G19" s="660"/>
      <c r="H19" s="662"/>
      <c r="I19" s="662"/>
      <c r="J19" s="663"/>
    </row>
    <row r="20" spans="3:16">
      <c r="C20" s="663"/>
      <c r="D20" s="668" t="s">
        <v>438</v>
      </c>
      <c r="E20" s="668" t="s">
        <v>437</v>
      </c>
      <c r="F20" s="669" t="s">
        <v>44</v>
      </c>
      <c r="G20" s="660"/>
      <c r="H20" s="662"/>
      <c r="I20" s="662"/>
      <c r="J20" s="663"/>
    </row>
    <row r="21" spans="3:16" ht="13.5" thickBot="1">
      <c r="C21" s="670" t="s">
        <v>48</v>
      </c>
      <c r="D21" s="671">
        <f>TCOS!I233</f>
        <v>0.5444461334484344</v>
      </c>
      <c r="E21" s="672">
        <f>TCOS!J233</f>
        <v>3.7804486798679864E-2</v>
      </c>
      <c r="F21" s="673">
        <f>E21*D21</f>
        <v>2.0582506664543632E-2</v>
      </c>
      <c r="G21" s="660"/>
      <c r="H21" s="662"/>
      <c r="I21" s="674"/>
      <c r="J21" s="675"/>
      <c r="K21" s="438"/>
      <c r="L21" s="438"/>
      <c r="M21" s="438"/>
      <c r="N21" s="438"/>
      <c r="O21" s="438"/>
    </row>
    <row r="22" spans="3:16">
      <c r="C22" s="670" t="s">
        <v>49</v>
      </c>
      <c r="D22" s="671">
        <f>TCOS!I234</f>
        <v>0</v>
      </c>
      <c r="E22" s="672">
        <f>TCOS!J234</f>
        <v>0</v>
      </c>
      <c r="F22" s="673">
        <f>E22*D22</f>
        <v>0</v>
      </c>
      <c r="G22" s="676"/>
      <c r="H22" s="676"/>
      <c r="I22" s="677"/>
      <c r="J22" s="678"/>
      <c r="K22" s="1522" t="s">
        <v>231</v>
      </c>
      <c r="L22" s="1523"/>
      <c r="M22" s="1523"/>
      <c r="N22" s="1523"/>
      <c r="O22" s="1524"/>
      <c r="P22" s="678"/>
    </row>
    <row r="23" spans="3:16">
      <c r="C23" s="679" t="s">
        <v>29</v>
      </c>
      <c r="D23" s="671">
        <f>TCOS!I235</f>
        <v>0.45555386655156566</v>
      </c>
      <c r="E23" s="672">
        <f>+F18</f>
        <v>0.10349999999999999</v>
      </c>
      <c r="F23" s="680">
        <f>E23*D23</f>
        <v>4.7149825188087045E-2</v>
      </c>
      <c r="G23" s="676"/>
      <c r="H23" s="676"/>
      <c r="I23" s="677"/>
      <c r="J23" s="678"/>
      <c r="K23" s="1525"/>
      <c r="L23" s="1526"/>
      <c r="M23" s="1526"/>
      <c r="N23" s="1526"/>
      <c r="O23" s="1527"/>
      <c r="P23" s="678"/>
    </row>
    <row r="24" spans="3:16">
      <c r="C24" s="659"/>
      <c r="D24" s="173"/>
      <c r="E24" s="681" t="s">
        <v>50</v>
      </c>
      <c r="F24" s="673">
        <f>SUM(F21:F23)</f>
        <v>6.7732331852630681E-2</v>
      </c>
      <c r="G24" s="676"/>
      <c r="H24" s="676"/>
      <c r="I24" s="677"/>
      <c r="J24" s="678"/>
      <c r="K24" s="682"/>
      <c r="L24" s="683"/>
      <c r="M24" s="684" t="s">
        <v>45</v>
      </c>
      <c r="N24" s="684" t="s">
        <v>46</v>
      </c>
      <c r="O24" s="685" t="s">
        <v>47</v>
      </c>
      <c r="P24" s="678"/>
    </row>
    <row r="25" spans="3:16">
      <c r="C25" s="314"/>
      <c r="D25" s="686"/>
      <c r="E25" s="686"/>
      <c r="F25" s="676"/>
      <c r="G25" s="676"/>
      <c r="H25" s="676"/>
      <c r="I25" s="676"/>
      <c r="J25" s="687"/>
      <c r="K25" s="688"/>
      <c r="L25" s="689"/>
      <c r="M25" s="689"/>
      <c r="N25" s="689"/>
      <c r="O25" s="690"/>
      <c r="P25" s="687"/>
    </row>
    <row r="26" spans="3:16" ht="16.5" thickBot="1">
      <c r="C26" s="658" t="str">
        <f>"B.   Determine Return using 'R' with hypothetical "&amp;F17&amp;" basis point ROE increase for Identified Projects."</f>
        <v>B.   Determine Return using 'R' with hypothetical 0 basis point ROE increase for Identified Projects.</v>
      </c>
      <c r="D26" s="686"/>
      <c r="E26" s="686"/>
      <c r="F26" s="691"/>
      <c r="G26" s="676"/>
      <c r="H26" s="660"/>
      <c r="I26" s="676"/>
      <c r="J26" s="687"/>
      <c r="K26" s="692" t="s">
        <v>51</v>
      </c>
      <c r="L26" s="693">
        <f>+TCOS!L4</f>
        <v>2024</v>
      </c>
      <c r="M26" s="954">
        <f>N88</f>
        <v>0</v>
      </c>
      <c r="N26" s="954">
        <f>N89</f>
        <v>0</v>
      </c>
      <c r="O26" s="694">
        <f>+N26-M26</f>
        <v>0</v>
      </c>
      <c r="P26" s="687"/>
    </row>
    <row r="27" spans="3:16">
      <c r="C27" s="663"/>
      <c r="D27" s="686"/>
      <c r="E27" s="686"/>
      <c r="F27" s="687"/>
      <c r="G27" s="687"/>
      <c r="H27" s="687"/>
      <c r="I27" s="687"/>
      <c r="J27" s="687"/>
      <c r="K27" s="695"/>
      <c r="L27" s="695"/>
      <c r="M27" s="696"/>
      <c r="N27" s="695"/>
      <c r="O27" s="695"/>
      <c r="P27" s="687"/>
    </row>
    <row r="28" spans="3:16">
      <c r="C28" s="659" t="str">
        <f>"   Rate Base  (TCOS, ln "&amp;TCOS!B112&amp;")"</f>
        <v xml:space="preserve">   Rate Base  (TCOS, ln 58)</v>
      </c>
      <c r="D28" s="660"/>
      <c r="F28" s="697">
        <f>TCOS!L112</f>
        <v>112669549.26893997</v>
      </c>
      <c r="G28" s="687"/>
      <c r="H28" s="687"/>
      <c r="I28" s="687"/>
      <c r="J28" s="687"/>
      <c r="K28" s="695"/>
      <c r="L28" s="695"/>
      <c r="M28" s="695"/>
      <c r="N28" s="695"/>
      <c r="O28" s="698"/>
      <c r="P28" s="687"/>
    </row>
    <row r="29" spans="3:16">
      <c r="C29" s="663" t="s">
        <v>276</v>
      </c>
      <c r="D29" s="699"/>
      <c r="F29" s="673">
        <f>F24</f>
        <v>6.7732331852630681E-2</v>
      </c>
      <c r="G29" s="687"/>
      <c r="H29" s="687"/>
      <c r="I29" s="687"/>
      <c r="J29" s="687"/>
      <c r="K29" s="687"/>
      <c r="L29" s="687"/>
      <c r="M29" s="687"/>
      <c r="N29" s="687"/>
      <c r="O29" s="687"/>
      <c r="P29" s="687"/>
    </row>
    <row r="30" spans="3:16">
      <c r="C30" s="700" t="s">
        <v>53</v>
      </c>
      <c r="D30" s="700"/>
      <c r="F30" s="677">
        <f>F28*F29</f>
        <v>7631371.3007701645</v>
      </c>
      <c r="G30" s="687"/>
      <c r="H30" s="687"/>
      <c r="I30" s="678"/>
      <c r="J30" s="678"/>
      <c r="K30" s="678"/>
      <c r="L30" s="678"/>
      <c r="M30" s="678"/>
      <c r="N30" s="678"/>
      <c r="O30" s="687"/>
      <c r="P30" s="678"/>
    </row>
    <row r="31" spans="3:16">
      <c r="C31" s="701"/>
      <c r="D31" s="662"/>
      <c r="E31" s="662"/>
      <c r="F31" s="687"/>
      <c r="G31" s="687"/>
      <c r="H31" s="687"/>
      <c r="I31" s="678"/>
      <c r="J31" s="678"/>
      <c r="K31" s="678"/>
      <c r="L31" s="678"/>
      <c r="M31" s="678"/>
      <c r="N31" s="678"/>
      <c r="O31" s="687"/>
      <c r="P31" s="678"/>
    </row>
    <row r="32" spans="3:16"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4"/>
      <c r="J32" s="704"/>
      <c r="K32" s="704"/>
      <c r="L32" s="704"/>
      <c r="M32" s="704"/>
      <c r="N32" s="704"/>
      <c r="O32" s="703"/>
      <c r="P32" s="704"/>
    </row>
    <row r="33" spans="2:16">
      <c r="C33" s="659"/>
      <c r="D33" s="662"/>
      <c r="E33" s="662"/>
      <c r="F33" s="687"/>
      <c r="G33" s="687"/>
      <c r="H33" s="687"/>
      <c r="I33" s="678"/>
      <c r="J33" s="678"/>
      <c r="K33" s="678"/>
      <c r="L33" s="678"/>
      <c r="M33" s="678"/>
      <c r="N33" s="678"/>
      <c r="O33" s="687"/>
      <c r="P33" s="678"/>
    </row>
    <row r="34" spans="2:16">
      <c r="C34" s="663" t="s">
        <v>54</v>
      </c>
      <c r="D34" s="681"/>
      <c r="F34" s="705">
        <f>F30</f>
        <v>7631371.3007701645</v>
      </c>
      <c r="G34" s="687"/>
      <c r="H34" s="687"/>
      <c r="I34" s="687"/>
      <c r="J34" s="687"/>
      <c r="K34" s="687"/>
      <c r="L34" s="687"/>
      <c r="M34" s="687"/>
      <c r="N34" s="687"/>
      <c r="O34" s="687"/>
      <c r="P34" s="687"/>
    </row>
    <row r="35" spans="2:16">
      <c r="C35" s="659" t="str">
        <f>"   Effective Tax Rate  (TCOS, ln "&amp;TCOS!B170&amp;")"</f>
        <v xml:space="preserve">   Effective Tax Rate  (TCOS, ln 97)</v>
      </c>
      <c r="D35" s="537"/>
      <c r="F35" s="706">
        <f>TCOS!G170</f>
        <v>0.24640175289480282</v>
      </c>
      <c r="G35" s="314"/>
      <c r="H35" s="707"/>
      <c r="I35" s="314"/>
      <c r="J35" s="425"/>
      <c r="K35" s="314"/>
      <c r="L35" s="314"/>
      <c r="M35" s="314"/>
      <c r="N35" s="314"/>
      <c r="O35" s="314"/>
      <c r="P35" s="425"/>
    </row>
    <row r="36" spans="2:16">
      <c r="C36" s="701" t="s">
        <v>55</v>
      </c>
      <c r="D36" s="537"/>
      <c r="F36" s="708">
        <f>F34*F35</f>
        <v>1880383.2655008601</v>
      </c>
      <c r="G36" s="314"/>
      <c r="H36" s="707"/>
      <c r="I36" s="314"/>
      <c r="J36" s="425"/>
      <c r="K36" s="314"/>
      <c r="L36" s="314"/>
      <c r="M36" s="314"/>
      <c r="N36" s="314"/>
      <c r="O36" s="314"/>
      <c r="P36" s="425"/>
    </row>
    <row r="37" spans="2:16" ht="15">
      <c r="C37" s="659" t="s">
        <v>97</v>
      </c>
      <c r="D37" s="326"/>
      <c r="F37" s="709">
        <f>TCOS!L178</f>
        <v>0</v>
      </c>
      <c r="G37" s="326"/>
      <c r="H37" s="326"/>
      <c r="I37" s="326"/>
      <c r="J37" s="326"/>
      <c r="K37" s="326"/>
      <c r="L37" s="326"/>
      <c r="M37" s="326"/>
      <c r="N37" s="326"/>
      <c r="O37" s="231"/>
      <c r="P37" s="326"/>
    </row>
    <row r="38" spans="2:16" ht="15">
      <c r="C38" s="659" t="s">
        <v>552</v>
      </c>
      <c r="D38" s="326"/>
      <c r="F38" s="709">
        <f>TCOS!L179</f>
        <v>1381.0438115975157</v>
      </c>
      <c r="G38" s="326"/>
      <c r="H38" s="326"/>
      <c r="I38" s="326"/>
      <c r="J38" s="326"/>
      <c r="K38" s="326"/>
      <c r="L38" s="326"/>
      <c r="M38" s="326"/>
      <c r="N38" s="326"/>
      <c r="O38" s="231"/>
      <c r="P38" s="326"/>
    </row>
    <row r="39" spans="2:16" ht="15.75" thickBot="1">
      <c r="C39" s="659" t="s">
        <v>554</v>
      </c>
      <c r="D39" s="326"/>
      <c r="F39" s="710">
        <f>TCOS!L180</f>
        <v>34718.610059355233</v>
      </c>
      <c r="G39" s="326"/>
      <c r="H39" s="326"/>
      <c r="I39" s="326"/>
      <c r="J39" s="326"/>
      <c r="K39" s="326"/>
      <c r="L39" s="326"/>
      <c r="M39" s="326"/>
      <c r="N39" s="326"/>
      <c r="O39" s="231"/>
      <c r="P39" s="326"/>
    </row>
    <row r="40" spans="2:16" ht="15">
      <c r="C40" s="701" t="s">
        <v>56</v>
      </c>
      <c r="D40" s="326"/>
      <c r="F40" s="709">
        <f>F36+F37+F38+F39</f>
        <v>1916482.9193718128</v>
      </c>
      <c r="G40" s="957"/>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6" t="s">
        <v>464</v>
      </c>
      <c r="C42" s="655"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5" t="str">
        <f>"basis point ROE increase."</f>
        <v>basis point ROE increase.</v>
      </c>
      <c r="D43" s="326"/>
      <c r="E43" s="326"/>
      <c r="F43" s="326"/>
      <c r="G43" s="326"/>
      <c r="H43" s="326"/>
      <c r="I43" s="326"/>
      <c r="J43" s="326"/>
      <c r="K43" s="326"/>
      <c r="L43" s="326"/>
      <c r="M43" s="326"/>
      <c r="N43" s="326"/>
      <c r="O43" s="189"/>
      <c r="P43" s="326"/>
    </row>
    <row r="44" spans="2:16" ht="12.75" customHeight="1">
      <c r="C44" s="655"/>
      <c r="D44" s="326"/>
      <c r="E44" s="326"/>
      <c r="F44" s="326"/>
      <c r="G44" s="326"/>
      <c r="H44" s="326"/>
      <c r="I44" s="326"/>
      <c r="J44" s="326"/>
      <c r="K44" s="326"/>
      <c r="L44" s="326"/>
      <c r="M44" s="326"/>
      <c r="N44" s="326"/>
      <c r="O44" s="189"/>
      <c r="P44" s="326"/>
    </row>
    <row r="45" spans="2:16" ht="15.75">
      <c r="C45" s="658" t="s">
        <v>253</v>
      </c>
      <c r="D45" s="326"/>
      <c r="E45" s="326"/>
      <c r="F45" s="325"/>
      <c r="G45" s="326"/>
      <c r="H45" s="326"/>
      <c r="I45" s="326"/>
      <c r="J45" s="326"/>
      <c r="K45" s="326"/>
      <c r="L45" s="326"/>
      <c r="M45" s="326"/>
      <c r="N45" s="326"/>
      <c r="O45" s="189"/>
      <c r="P45" s="326"/>
    </row>
    <row r="46" spans="2:16">
      <c r="B46" s="348"/>
      <c r="C46" s="711"/>
      <c r="D46" s="712"/>
      <c r="E46" s="712"/>
      <c r="F46" s="712"/>
      <c r="G46" s="712"/>
      <c r="H46" s="712"/>
      <c r="I46" s="712"/>
      <c r="J46" s="712"/>
      <c r="K46" s="712"/>
      <c r="L46" s="712"/>
      <c r="M46" s="712"/>
      <c r="N46" s="712"/>
      <c r="O46" s="709"/>
      <c r="P46" s="712"/>
    </row>
    <row r="47" spans="2:16" ht="12.75" customHeight="1">
      <c r="B47" s="348"/>
      <c r="C47" s="659" t="str">
        <f>"   Annual Revenue Requirement  (TCOS, ln "&amp;TCOS!B13&amp;")"</f>
        <v xml:space="preserve">   Annual Revenue Requirement  (TCOS, ln 1)</v>
      </c>
      <c r="D47" s="712"/>
      <c r="E47" s="712"/>
      <c r="G47" s="709">
        <f>TCOS!L13</f>
        <v>16078629.132328153</v>
      </c>
      <c r="H47" s="958"/>
      <c r="I47" s="712"/>
      <c r="J47" s="712"/>
      <c r="K47" s="712"/>
      <c r="L47" s="712"/>
      <c r="M47" s="712"/>
      <c r="N47" s="712"/>
      <c r="O47" s="709"/>
      <c r="P47" s="712"/>
    </row>
    <row r="48" spans="2:16" ht="12.75" customHeight="1">
      <c r="B48" s="348"/>
      <c r="C48" s="711" t="str">
        <f>"   Lease Payments (TCOS, Ln "&amp;TCOS!B150&amp;")"</f>
        <v xml:space="preserve">   Lease Payments (TCOS, Ln 80)</v>
      </c>
      <c r="D48" s="712"/>
      <c r="E48" s="712"/>
      <c r="G48" s="709">
        <f>+TCOS!L150</f>
        <v>0</v>
      </c>
      <c r="H48" s="958"/>
      <c r="I48" s="712"/>
      <c r="J48" s="712"/>
      <c r="K48" s="712"/>
      <c r="L48" s="712"/>
      <c r="M48" s="712"/>
      <c r="N48" s="712"/>
      <c r="O48" s="709"/>
      <c r="P48" s="712"/>
    </row>
    <row r="49" spans="2:16">
      <c r="B49" s="348"/>
      <c r="C49" s="659" t="str">
        <f>"   Return  (TCOS, ln "&amp;TCOS!B183&amp;")"</f>
        <v xml:space="preserve">   Return  (TCOS, ln 109)</v>
      </c>
      <c r="D49" s="712"/>
      <c r="E49" s="712"/>
      <c r="G49" s="714">
        <f>TCOS!L183</f>
        <v>7631371.3007701645</v>
      </c>
      <c r="H49" s="959"/>
      <c r="I49" s="712"/>
      <c r="J49" s="715"/>
      <c r="K49" s="715"/>
      <c r="L49" s="715"/>
      <c r="M49" s="715"/>
      <c r="N49" s="715"/>
      <c r="O49" s="709"/>
      <c r="P49" s="715"/>
    </row>
    <row r="50" spans="2:16">
      <c r="B50" s="348"/>
      <c r="C50" s="659" t="str">
        <f>"   Income Taxes  (TCOS, ln "&amp;TCOS!B181&amp;")"</f>
        <v xml:space="preserve">   Income Taxes  (TCOS, ln 108)</v>
      </c>
      <c r="D50" s="712"/>
      <c r="E50" s="712"/>
      <c r="G50" s="716">
        <f>F40</f>
        <v>1916482.9193718128</v>
      </c>
      <c r="H50" s="958"/>
      <c r="I50" s="712"/>
      <c r="J50" s="717"/>
      <c r="K50" s="717"/>
      <c r="L50" s="717"/>
      <c r="M50" s="717"/>
      <c r="N50" s="717"/>
      <c r="O50" s="712"/>
      <c r="P50" s="717"/>
    </row>
    <row r="51" spans="2:16">
      <c r="B51" s="348"/>
      <c r="C51" s="724" t="s">
        <v>609</v>
      </c>
      <c r="D51" s="712"/>
      <c r="E51" s="712"/>
      <c r="G51" s="714">
        <f>G47-G49-G50-G48</f>
        <v>6530774.9121861765</v>
      </c>
      <c r="H51" s="714"/>
      <c r="I51" s="712"/>
      <c r="J51" s="718"/>
      <c r="K51" s="718"/>
      <c r="L51" s="718"/>
      <c r="M51" s="718"/>
      <c r="N51" s="718"/>
      <c r="O51" s="718"/>
      <c r="P51" s="718"/>
    </row>
    <row r="52" spans="2:16">
      <c r="B52" s="348"/>
      <c r="C52" s="711"/>
      <c r="D52" s="712"/>
      <c r="E52" s="712"/>
      <c r="F52" s="709"/>
      <c r="G52" s="719"/>
      <c r="H52" s="720"/>
      <c r="I52" s="712"/>
      <c r="J52" s="720"/>
      <c r="K52" s="720"/>
      <c r="L52" s="720"/>
      <c r="M52" s="720"/>
      <c r="N52" s="720"/>
      <c r="O52" s="720"/>
      <c r="P52" s="720"/>
    </row>
    <row r="53" spans="2:16" ht="15.75">
      <c r="B53" s="348"/>
      <c r="C53" s="658" t="str">
        <f>"B.   Determine Annual Revenue Requirement with hypothetical "&amp;F17&amp;" basis point increase in ROE."</f>
        <v>B.   Determine Annual Revenue Requirement with hypothetical 0 basis point increase in ROE.</v>
      </c>
      <c r="D53" s="721"/>
      <c r="E53" s="721"/>
      <c r="F53" s="709"/>
      <c r="G53" s="719"/>
      <c r="H53" s="720"/>
      <c r="I53" s="720"/>
      <c r="J53" s="720"/>
      <c r="K53" s="720"/>
      <c r="L53" s="720"/>
      <c r="M53" s="720"/>
      <c r="N53" s="720"/>
      <c r="O53" s="720"/>
      <c r="P53" s="720"/>
    </row>
    <row r="54" spans="2:16">
      <c r="B54" s="348"/>
      <c r="C54" s="711"/>
      <c r="D54" s="721"/>
      <c r="E54" s="721"/>
      <c r="F54" s="709"/>
      <c r="G54" s="719"/>
      <c r="H54" s="720"/>
      <c r="I54" s="720"/>
      <c r="J54" s="720"/>
      <c r="K54" s="720"/>
      <c r="L54" s="720"/>
      <c r="M54" s="720"/>
      <c r="N54" s="720"/>
      <c r="O54" s="720"/>
      <c r="P54" s="720"/>
    </row>
    <row r="55" spans="2:16">
      <c r="B55" s="348"/>
      <c r="C55" s="711" t="str">
        <f>C51</f>
        <v xml:space="preserve">   Annual Revenue Requirement, Less Return and Taxes</v>
      </c>
      <c r="D55" s="721"/>
      <c r="E55" s="721"/>
      <c r="G55" s="709">
        <f>G51</f>
        <v>6530774.9121861765</v>
      </c>
      <c r="H55" s="709"/>
      <c r="I55" s="712"/>
      <c r="J55" s="712"/>
      <c r="K55" s="712"/>
      <c r="L55" s="712"/>
      <c r="M55" s="712"/>
      <c r="N55" s="712"/>
      <c r="O55" s="722"/>
      <c r="P55" s="712"/>
    </row>
    <row r="56" spans="2:16">
      <c r="B56" s="348"/>
      <c r="C56" s="663" t="s">
        <v>94</v>
      </c>
      <c r="D56" s="723"/>
      <c r="E56" s="724"/>
      <c r="G56" s="725">
        <f>F30</f>
        <v>7631371.3007701645</v>
      </c>
      <c r="H56" s="960"/>
      <c r="I56" s="712"/>
      <c r="J56" s="724"/>
      <c r="K56" s="724"/>
      <c r="L56" s="724"/>
      <c r="M56" s="724"/>
      <c r="N56" s="724"/>
      <c r="O56" s="724"/>
      <c r="P56" s="724"/>
    </row>
    <row r="57" spans="2:16" ht="12.75" customHeight="1">
      <c r="B57" s="348"/>
      <c r="C57" s="659" t="s">
        <v>62</v>
      </c>
      <c r="D57" s="712"/>
      <c r="E57" s="712"/>
      <c r="G57" s="716">
        <f>F40</f>
        <v>1916482.9193718128</v>
      </c>
      <c r="H57" s="958"/>
      <c r="I57" s="712"/>
      <c r="J57" s="425"/>
      <c r="K57" s="314"/>
      <c r="L57" s="314"/>
      <c r="M57" s="314"/>
      <c r="N57" s="314"/>
      <c r="O57" s="314"/>
      <c r="P57" s="425"/>
    </row>
    <row r="58" spans="2:16">
      <c r="B58" s="348"/>
      <c r="C58" s="724" t="str">
        <f>"   Annual Revenue Requirement, with "&amp;F17&amp;" Basis Point ROE increase"</f>
        <v xml:space="preserve">   Annual Revenue Requirement, with 0 Basis Point ROE increase</v>
      </c>
      <c r="D58" s="537"/>
      <c r="E58" s="314"/>
      <c r="G58" s="708">
        <f>SUM(G55:G57)</f>
        <v>16078629.132328155</v>
      </c>
      <c r="H58" s="961"/>
      <c r="I58" s="712"/>
      <c r="J58" s="425"/>
      <c r="K58" s="314"/>
      <c r="L58" s="314"/>
      <c r="M58" s="314"/>
      <c r="N58" s="314"/>
      <c r="O58" s="314"/>
      <c r="P58" s="425"/>
    </row>
    <row r="59" spans="2:16">
      <c r="B59" s="348"/>
      <c r="C59" s="659" t="str">
        <f>"   Depreciation &amp; Amortization (TCOS, ln "&amp;TCOS!B154&amp;")"</f>
        <v xml:space="preserve">   Depreciation &amp; Amortization (TCOS, ln 83)</v>
      </c>
      <c r="D59" s="537"/>
      <c r="E59" s="314"/>
      <c r="G59" s="726">
        <f>TCOS!L154</f>
        <v>3314270</v>
      </c>
      <c r="H59" s="961"/>
      <c r="I59" s="712"/>
      <c r="J59" s="425"/>
      <c r="K59" s="314"/>
      <c r="L59" s="314"/>
      <c r="M59" s="314"/>
      <c r="N59" s="314"/>
      <c r="O59" s="314"/>
      <c r="P59" s="425"/>
    </row>
    <row r="60" spans="2:16">
      <c r="B60" s="348"/>
      <c r="C60" s="724" t="str">
        <f>"   Annual Rev. Req, w/"&amp;F17&amp;" Basis Point ROE increase, less Depreciation"</f>
        <v xml:space="preserve">   Annual Rev. Req, w/0 Basis Point ROE increase, less Depreciation</v>
      </c>
      <c r="D60" s="537"/>
      <c r="E60" s="314"/>
      <c r="G60" s="708">
        <f>G58-G59</f>
        <v>12764359.132328155</v>
      </c>
      <c r="H60" s="961"/>
      <c r="I60" s="712"/>
      <c r="J60" s="425"/>
      <c r="K60" s="314"/>
      <c r="L60" s="314"/>
      <c r="M60" s="314"/>
      <c r="N60" s="314"/>
      <c r="O60" s="314"/>
      <c r="P60" s="425"/>
    </row>
    <row r="61" spans="2:16">
      <c r="B61" s="348"/>
      <c r="C61" s="314"/>
      <c r="D61" s="537"/>
      <c r="E61" s="314"/>
      <c r="F61" s="314"/>
      <c r="G61" s="314"/>
      <c r="H61" s="962"/>
      <c r="I61" s="712"/>
      <c r="J61" s="425"/>
      <c r="K61" s="314"/>
      <c r="L61" s="314"/>
      <c r="M61" s="314"/>
      <c r="N61" s="314"/>
      <c r="O61" s="314"/>
      <c r="P61" s="425"/>
    </row>
    <row r="62" spans="2:16" ht="15.75">
      <c r="B62" s="348"/>
      <c r="C62" s="658" t="str">
        <f>"C.   Determine FCR with hypothetical "&amp;F17&amp;" basis point ROE increase."</f>
        <v>C.   Determine FCR with hypothetical 0 basis point ROE increase.</v>
      </c>
      <c r="D62" s="537"/>
      <c r="E62" s="314"/>
      <c r="F62" s="314"/>
      <c r="G62" s="314"/>
      <c r="H62" s="962"/>
      <c r="I62" s="712"/>
      <c r="J62" s="425"/>
      <c r="K62" s="314"/>
      <c r="L62" s="314"/>
      <c r="M62" s="314"/>
      <c r="N62" s="314"/>
      <c r="O62" s="314"/>
      <c r="P62" s="425"/>
    </row>
    <row r="63" spans="2:16">
      <c r="B63" s="348"/>
      <c r="C63" s="314"/>
      <c r="D63" s="537"/>
      <c r="E63" s="314"/>
      <c r="F63" s="314"/>
      <c r="G63" s="314"/>
      <c r="H63" s="962"/>
      <c r="I63" s="712"/>
      <c r="J63" s="425"/>
      <c r="K63" s="314"/>
      <c r="L63" s="314"/>
      <c r="M63" s="314"/>
      <c r="N63" s="314"/>
      <c r="O63" s="314"/>
      <c r="P63" s="425"/>
    </row>
    <row r="64" spans="2:16">
      <c r="B64" s="348"/>
      <c r="C64" s="659" t="str">
        <f>"   Net Transmission Plant  (Projected TCOS, ln "&amp;TCOS!B79&amp;")"</f>
        <v xml:space="preserve">   Net Transmission Plant  (Projected TCOS, ln 33)</v>
      </c>
      <c r="D64" s="537"/>
      <c r="E64" s="314"/>
      <c r="G64" s="708">
        <f>TCOS!L79</f>
        <v>116938284.97999997</v>
      </c>
      <c r="H64" s="961"/>
      <c r="I64" s="712"/>
      <c r="J64" s="425"/>
      <c r="K64" s="314"/>
      <c r="L64" s="314"/>
      <c r="M64" s="314"/>
      <c r="N64" s="314"/>
      <c r="O64" s="314"/>
      <c r="P64" s="425"/>
    </row>
    <row r="65" spans="2:17">
      <c r="B65" s="348"/>
      <c r="C65" s="724" t="str">
        <f>"   Annual Revenue Requirement, with "&amp;F17&amp;" Basis Point ROE increase"</f>
        <v xml:space="preserve">   Annual Revenue Requirement, with 0 Basis Point ROE increase</v>
      </c>
      <c r="D65" s="537"/>
      <c r="E65" s="314"/>
      <c r="G65" s="708">
        <f>G58</f>
        <v>16078629.132328155</v>
      </c>
      <c r="H65" s="961"/>
      <c r="I65" s="712"/>
      <c r="J65" s="425"/>
      <c r="K65" s="314"/>
      <c r="L65" s="314"/>
      <c r="M65" s="314"/>
      <c r="N65" s="314"/>
      <c r="O65" s="314"/>
      <c r="P65" s="425"/>
    </row>
    <row r="66" spans="2:17">
      <c r="B66" s="348"/>
      <c r="C66" s="724" t="str">
        <f>"   FCR with "&amp;F17&amp;" Basis Point increase in ROE"</f>
        <v xml:space="preserve">   FCR with 0 Basis Point increase in ROE</v>
      </c>
      <c r="D66" s="537"/>
      <c r="E66" s="314"/>
      <c r="G66" s="706">
        <f>IF(G64=0,0,G65/G64)</f>
        <v>0.13749670721678611</v>
      </c>
      <c r="H66" s="963"/>
      <c r="I66" s="712"/>
      <c r="J66" s="425"/>
      <c r="K66" s="314"/>
      <c r="L66" s="314"/>
      <c r="M66" s="314"/>
      <c r="N66" s="314"/>
      <c r="O66" s="314"/>
      <c r="P66" s="425"/>
    </row>
    <row r="67" spans="2:17">
      <c r="B67" s="348"/>
      <c r="C67" s="209"/>
      <c r="D67" s="537"/>
      <c r="E67" s="314"/>
      <c r="G67" s="348"/>
      <c r="H67" s="953"/>
      <c r="I67" s="712"/>
      <c r="J67" s="425"/>
      <c r="K67" s="314"/>
      <c r="L67" s="314"/>
      <c r="M67" s="314"/>
      <c r="N67" s="314"/>
      <c r="O67" s="314"/>
      <c r="P67" s="425"/>
    </row>
    <row r="68" spans="2:17">
      <c r="B68" s="348"/>
      <c r="C68" s="724" t="str">
        <f>"   Annual Rev. Req, w / "&amp;F17&amp;" Basis Point ROE increase, less Dep."</f>
        <v xml:space="preserve">   Annual Rev. Req, w / 0 Basis Point ROE increase, less Dep.</v>
      </c>
      <c r="D68" s="537"/>
      <c r="E68" s="314"/>
      <c r="G68" s="708">
        <f>G60</f>
        <v>12764359.132328155</v>
      </c>
      <c r="H68" s="961"/>
      <c r="I68" s="712"/>
      <c r="J68" s="425"/>
      <c r="K68" s="314"/>
      <c r="L68" s="314"/>
      <c r="M68" s="314"/>
      <c r="N68" s="314"/>
      <c r="O68" s="314"/>
      <c r="P68" s="425"/>
    </row>
    <row r="69" spans="2:17">
      <c r="B69" s="348"/>
      <c r="C69" s="724" t="str">
        <f>"   FCR with "&amp;F17&amp;" Basis Point ROE increase, less Depreciation"</f>
        <v xml:space="preserve">   FCR with 0 Basis Point ROE increase, less Depreciation</v>
      </c>
      <c r="D69" s="537"/>
      <c r="E69" s="314"/>
      <c r="G69" s="706">
        <f>IF(G64=0,0,G68/G64)</f>
        <v>0.10915466337231858</v>
      </c>
      <c r="H69" s="963"/>
      <c r="I69" s="727"/>
      <c r="J69" s="425"/>
      <c r="K69" s="314"/>
      <c r="L69" s="314"/>
      <c r="M69" s="314"/>
      <c r="N69" s="314"/>
      <c r="O69" s="314"/>
      <c r="P69" s="425"/>
    </row>
    <row r="70" spans="2:17">
      <c r="B70" s="348"/>
      <c r="C70" s="659" t="str">
        <f>"   FCR less Depreciation  (TCOS, ln "&amp;TCOS!B31&amp;")"</f>
        <v xml:space="preserve">   FCR less Depreciation  (TCOS, ln 10)</v>
      </c>
      <c r="D70" s="537"/>
      <c r="E70" s="314"/>
      <c r="G70" s="728">
        <f>TCOS!L31</f>
        <v>0.10915466337231856</v>
      </c>
      <c r="H70" s="964"/>
      <c r="I70" s="727"/>
      <c r="J70" s="425"/>
      <c r="K70" s="314"/>
      <c r="L70" s="314"/>
      <c r="M70" s="314"/>
      <c r="N70" s="314"/>
      <c r="O70" s="314"/>
      <c r="P70" s="425"/>
    </row>
    <row r="71" spans="2:17">
      <c r="B71" s="348"/>
      <c r="C71" s="724" t="str">
        <f>"   Incremental FCR with "&amp;F17&amp;" Basis Point ROE increase, less Depreciation"</f>
        <v xml:space="preserve">   Incremental FCR with 0 Basis Point ROE increase, less Depreciation</v>
      </c>
      <c r="D71" s="537"/>
      <c r="E71" s="314"/>
      <c r="G71" s="706">
        <f>G69-G70</f>
        <v>0</v>
      </c>
      <c r="H71" s="963"/>
      <c r="I71" s="712"/>
      <c r="J71" s="425"/>
      <c r="K71" s="314"/>
      <c r="L71" s="314"/>
      <c r="M71" s="314"/>
      <c r="N71" s="314"/>
      <c r="O71" s="314"/>
      <c r="P71" s="425"/>
    </row>
    <row r="72" spans="2:17">
      <c r="B72" s="348"/>
      <c r="C72" s="724"/>
      <c r="D72" s="537"/>
      <c r="E72" s="314"/>
      <c r="F72" s="706"/>
      <c r="G72" s="314"/>
      <c r="H72" s="962"/>
      <c r="I72" s="314"/>
      <c r="J72" s="425"/>
      <c r="K72" s="314"/>
      <c r="L72" s="314"/>
      <c r="M72" s="314"/>
      <c r="N72" s="314"/>
      <c r="O72" s="314"/>
      <c r="P72" s="425"/>
    </row>
    <row r="73" spans="2:17" ht="18.75">
      <c r="B73" s="656" t="s">
        <v>465</v>
      </c>
      <c r="C73" s="655" t="s">
        <v>63</v>
      </c>
      <c r="D73" s="537"/>
      <c r="E73" s="314"/>
      <c r="F73" s="706"/>
      <c r="G73" s="314"/>
      <c r="H73" s="962"/>
      <c r="I73" s="314"/>
      <c r="J73" s="425"/>
      <c r="K73" s="314"/>
      <c r="L73" s="314"/>
      <c r="M73" s="314"/>
      <c r="N73" s="314"/>
      <c r="O73" s="314"/>
      <c r="P73" s="425"/>
    </row>
    <row r="74" spans="2:17">
      <c r="B74" s="348"/>
      <c r="C74" s="724"/>
      <c r="D74" s="537"/>
      <c r="E74" s="314"/>
      <c r="F74" s="706"/>
      <c r="G74" s="314"/>
      <c r="H74" s="962"/>
      <c r="I74" s="314"/>
      <c r="J74" s="425"/>
      <c r="K74" s="314"/>
      <c r="L74" s="314"/>
      <c r="M74" s="314"/>
      <c r="N74" s="314"/>
      <c r="O74" s="314"/>
      <c r="P74" s="425"/>
    </row>
    <row r="75" spans="2:17">
      <c r="B75" s="348"/>
      <c r="C75" s="724" t="str">
        <f>+"Average Transmission Plant Balance for "&amp;TCOS!L4&amp;" TCOS, ln "&amp;TCOS!B63</f>
        <v>Average Transmission Plant Balance for 2024 TCOS, ln 19</v>
      </c>
      <c r="D75" s="1243"/>
      <c r="E75" s="348"/>
      <c r="F75" s="348"/>
      <c r="G75" s="488">
        <f>TCOS!L63</f>
        <v>128440275.49076921</v>
      </c>
      <c r="I75" s="314"/>
      <c r="J75" s="425"/>
      <c r="K75" s="729"/>
      <c r="L75" s="314"/>
      <c r="M75" s="314"/>
      <c r="N75" s="314"/>
      <c r="O75" s="314"/>
      <c r="P75" s="425"/>
    </row>
    <row r="76" spans="2:17">
      <c r="B76" s="348"/>
      <c r="C76" s="724" t="str">
        <f>"Annual Depreciation and Amortization Expense (TCOS, ln "&amp;TCOS!B154&amp;")"</f>
        <v>Annual Depreciation and Amortization Expense (TCOS, ln 83)</v>
      </c>
      <c r="D76" s="537"/>
      <c r="E76" s="314"/>
      <c r="G76" s="488">
        <f>TCOS!L154</f>
        <v>3314270</v>
      </c>
      <c r="H76" s="707"/>
      <c r="I76" s="314"/>
      <c r="J76" s="425"/>
      <c r="K76" s="314"/>
      <c r="L76" s="314"/>
      <c r="M76" s="314"/>
      <c r="N76" s="314"/>
      <c r="O76" s="314"/>
      <c r="P76" s="425"/>
    </row>
    <row r="77" spans="2:17" ht="12.75" customHeight="1">
      <c r="B77" s="348"/>
      <c r="C77" s="724" t="s">
        <v>64</v>
      </c>
      <c r="D77" s="537"/>
      <c r="E77" s="314"/>
      <c r="G77" s="901">
        <f>G76/G75</f>
        <v>2.5803977664608724E-2</v>
      </c>
      <c r="H77" s="730"/>
      <c r="I77" s="152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J77" s="1521"/>
      <c r="K77" s="1521"/>
      <c r="L77" s="1521"/>
      <c r="M77" s="1521"/>
      <c r="N77" s="1521"/>
      <c r="O77" s="1521"/>
      <c r="P77" s="657"/>
      <c r="Q77" s="657"/>
    </row>
    <row r="78" spans="2:17">
      <c r="B78" s="348"/>
      <c r="C78" s="724" t="s">
        <v>65</v>
      </c>
      <c r="D78" s="537"/>
      <c r="E78" s="314"/>
      <c r="G78" s="731">
        <f>IF(G77=0,0,1/G77)</f>
        <v>38.753715144140102</v>
      </c>
      <c r="H78" s="707"/>
      <c r="I78" s="1521"/>
      <c r="J78" s="1521"/>
      <c r="K78" s="1521"/>
      <c r="L78" s="1521"/>
      <c r="M78" s="1521"/>
      <c r="N78" s="1521"/>
      <c r="O78" s="1521"/>
      <c r="P78" s="657"/>
      <c r="Q78" s="657"/>
    </row>
    <row r="79" spans="2:17">
      <c r="B79" s="348"/>
      <c r="C79" s="724" t="s">
        <v>590</v>
      </c>
      <c r="D79" s="537"/>
      <c r="E79" s="314"/>
      <c r="G79" s="732">
        <f>ROUND(G78,0)</f>
        <v>39</v>
      </c>
      <c r="H79" s="707"/>
      <c r="I79" s="1521"/>
      <c r="J79" s="1521"/>
      <c r="K79" s="1521"/>
      <c r="L79" s="1521"/>
      <c r="M79" s="1521"/>
      <c r="N79" s="1521"/>
      <c r="O79" s="1521"/>
      <c r="P79" s="657"/>
      <c r="Q79" s="657"/>
    </row>
    <row r="80" spans="2:17">
      <c r="B80" s="348"/>
      <c r="C80" s="724"/>
      <c r="D80" s="537"/>
      <c r="E80" s="314"/>
      <c r="G80" s="733"/>
      <c r="H80" s="707"/>
      <c r="I80" s="1521"/>
      <c r="J80" s="1521"/>
      <c r="K80" s="1521"/>
      <c r="L80" s="1521"/>
      <c r="M80" s="1521"/>
      <c r="N80" s="1521"/>
      <c r="O80" s="1521"/>
    </row>
    <row r="81" spans="1:16">
      <c r="C81" s="734"/>
      <c r="D81" s="735"/>
      <c r="E81" s="735"/>
      <c r="F81" s="735"/>
      <c r="G81" s="729"/>
      <c r="H81" s="729"/>
    </row>
    <row r="82" spans="1:16" ht="20.25">
      <c r="A82" s="736" t="str">
        <f>""&amp;A6&amp;" Worksheet J -  ATRR PROJECTED Calculation for PJM Projects Charged to Benefiting Zones"</f>
        <v>AEP Appalachian Transmission Company Worksheet J -  ATRR PROJECTED Calculation for PJM Projects Charged to Benefiting Zones</v>
      </c>
      <c r="B82" s="348"/>
      <c r="C82" s="724"/>
      <c r="D82" s="537"/>
      <c r="E82" s="314"/>
      <c r="F82" s="706"/>
      <c r="G82" s="314"/>
      <c r="H82" s="707"/>
      <c r="K82" s="563"/>
      <c r="L82" s="563"/>
      <c r="M82" s="563"/>
      <c r="N82" s="652" t="str">
        <f>"Page "&amp;SUM(P$8:P82)&amp;" of "</f>
        <v xml:space="preserve">Page 2 of </v>
      </c>
      <c r="O82" s="653">
        <f>COUNT(P$8:P$56653)</f>
        <v>2</v>
      </c>
      <c r="P82" s="737">
        <v>1</v>
      </c>
    </row>
    <row r="83" spans="1:16">
      <c r="B83" s="348"/>
      <c r="C83" s="314"/>
      <c r="D83" s="537"/>
      <c r="E83" s="314"/>
      <c r="F83" s="314"/>
      <c r="G83" s="314"/>
      <c r="H83" s="707"/>
      <c r="I83" s="314"/>
      <c r="J83" s="425"/>
      <c r="K83" s="314"/>
      <c r="L83" s="314"/>
      <c r="M83" s="314"/>
      <c r="N83" s="314"/>
      <c r="O83" s="314"/>
      <c r="P83" s="425"/>
    </row>
    <row r="84" spans="1:16" ht="18">
      <c r="B84" s="656" t="s">
        <v>466</v>
      </c>
      <c r="C84" s="738" t="s">
        <v>85</v>
      </c>
      <c r="D84" s="537"/>
      <c r="E84" s="314"/>
      <c r="F84" s="314"/>
      <c r="G84" s="314"/>
      <c r="H84" s="707"/>
      <c r="I84" s="707"/>
      <c r="J84" s="729"/>
      <c r="K84" s="707"/>
      <c r="L84" s="707"/>
      <c r="M84" s="707"/>
      <c r="N84" s="707"/>
      <c r="O84" s="314"/>
    </row>
    <row r="85" spans="1:16" ht="18.75">
      <c r="B85" s="656"/>
      <c r="C85" s="655"/>
      <c r="D85" s="537"/>
      <c r="E85" s="314"/>
      <c r="F85" s="314"/>
      <c r="G85" s="314"/>
      <c r="H85" s="707"/>
      <c r="I85" s="707"/>
      <c r="J85" s="729"/>
      <c r="K85" s="707"/>
      <c r="L85" s="707"/>
      <c r="M85" s="707"/>
      <c r="N85" s="707"/>
      <c r="O85" s="314"/>
    </row>
    <row r="86" spans="1:16" ht="18.75">
      <c r="B86" s="656"/>
      <c r="C86" s="655" t="s">
        <v>86</v>
      </c>
      <c r="D86" s="537"/>
      <c r="E86" s="314"/>
      <c r="F86" s="314"/>
      <c r="G86" s="314"/>
      <c r="H86" s="707"/>
      <c r="I86" s="707"/>
      <c r="J86" s="729"/>
      <c r="K86" s="707"/>
      <c r="L86" s="707"/>
      <c r="M86" s="707"/>
      <c r="N86" s="707"/>
      <c r="O86" s="314"/>
    </row>
    <row r="87" spans="1:16" ht="15.75" thickBot="1">
      <c r="C87" s="240"/>
      <c r="D87" s="537"/>
      <c r="E87" s="314"/>
      <c r="F87" s="314"/>
      <c r="G87" s="314"/>
      <c r="H87" s="707"/>
      <c r="I87" s="707"/>
      <c r="J87" s="729"/>
      <c r="K87" s="707"/>
      <c r="L87" s="707"/>
      <c r="M87" s="707"/>
      <c r="N87" s="707"/>
      <c r="O87" s="314"/>
    </row>
    <row r="88" spans="1:16" ht="15.75">
      <c r="C88" s="658" t="s">
        <v>87</v>
      </c>
      <c r="D88" s="537"/>
      <c r="E88" s="314"/>
      <c r="F88" s="314"/>
      <c r="G88" s="805"/>
      <c r="H88" s="314" t="s">
        <v>66</v>
      </c>
      <c r="I88" s="314"/>
      <c r="J88" s="425"/>
      <c r="K88" s="739" t="s">
        <v>91</v>
      </c>
      <c r="L88" s="740"/>
      <c r="M88" s="741"/>
      <c r="N88" s="742">
        <v>0</v>
      </c>
      <c r="O88" s="314"/>
    </row>
    <row r="89" spans="1:16" ht="15.75">
      <c r="C89" s="658"/>
      <c r="D89" s="537"/>
      <c r="E89" s="314"/>
      <c r="F89" s="314"/>
      <c r="G89" s="314"/>
      <c r="H89" s="743"/>
      <c r="I89" s="743"/>
      <c r="J89" s="744"/>
      <c r="K89" s="745" t="s">
        <v>92</v>
      </c>
      <c r="L89" s="746"/>
      <c r="M89" s="425"/>
      <c r="N89" s="747">
        <v>0</v>
      </c>
      <c r="O89" s="314"/>
    </row>
    <row r="90" spans="1:16" ht="13.5" thickBot="1">
      <c r="C90" s="748" t="s">
        <v>88</v>
      </c>
      <c r="D90" s="1516"/>
      <c r="E90" s="1516"/>
      <c r="F90" s="1516"/>
      <c r="G90" s="1516"/>
      <c r="H90" s="1516"/>
      <c r="I90" s="1516"/>
      <c r="J90" s="729"/>
      <c r="K90" s="749" t="s">
        <v>230</v>
      </c>
      <c r="L90" s="750"/>
      <c r="M90" s="750"/>
      <c r="N90" s="751">
        <f>+N89-N88</f>
        <v>0</v>
      </c>
      <c r="O90" s="314"/>
    </row>
    <row r="91" spans="1:16">
      <c r="C91" s="752"/>
      <c r="D91" s="753"/>
      <c r="E91" s="733"/>
      <c r="F91" s="733"/>
      <c r="G91" s="754"/>
      <c r="H91" s="707"/>
      <c r="I91" s="707"/>
      <c r="J91" s="729"/>
      <c r="K91" s="707"/>
      <c r="L91" s="707"/>
      <c r="M91" s="707"/>
      <c r="N91" s="707"/>
      <c r="O91" s="314"/>
    </row>
    <row r="92" spans="1:16" ht="13.5" thickBot="1">
      <c r="C92" s="755"/>
      <c r="D92" s="756"/>
      <c r="E92" s="754"/>
      <c r="F92" s="754"/>
      <c r="G92" s="754"/>
      <c r="H92" s="754"/>
      <c r="I92" s="754"/>
      <c r="J92" s="757"/>
      <c r="K92" s="754"/>
      <c r="L92" s="754"/>
      <c r="M92" s="754"/>
      <c r="N92" s="754"/>
      <c r="O92" s="348"/>
    </row>
    <row r="93" spans="1:16" ht="13.5" thickBot="1">
      <c r="C93" s="758" t="s">
        <v>89</v>
      </c>
      <c r="D93" s="759"/>
      <c r="E93" s="759"/>
      <c r="F93" s="759"/>
      <c r="G93" s="759"/>
      <c r="H93" s="759"/>
      <c r="I93" s="760"/>
      <c r="J93" s="761"/>
      <c r="K93" s="314"/>
      <c r="L93" s="314"/>
      <c r="M93" s="314"/>
      <c r="N93" s="314"/>
      <c r="O93" s="762"/>
    </row>
    <row r="94" spans="1:16" ht="15">
      <c r="C94" s="763" t="s">
        <v>67</v>
      </c>
      <c r="D94" s="807"/>
      <c r="E94" s="724" t="s">
        <v>68</v>
      </c>
      <c r="G94" s="764"/>
      <c r="H94" s="764"/>
      <c r="I94" s="765">
        <v>2017</v>
      </c>
      <c r="J94" s="553"/>
      <c r="K94" s="1518" t="s">
        <v>239</v>
      </c>
      <c r="L94" s="1518"/>
      <c r="M94" s="1518"/>
      <c r="N94" s="1518"/>
      <c r="O94" s="1518"/>
    </row>
    <row r="95" spans="1:16">
      <c r="C95" s="763" t="s">
        <v>70</v>
      </c>
      <c r="D95" s="808"/>
      <c r="E95" s="763" t="s">
        <v>71</v>
      </c>
      <c r="F95" s="764"/>
      <c r="H95" s="173"/>
      <c r="I95" s="809">
        <f>IF(G88="",0,$F$17)</f>
        <v>0</v>
      </c>
      <c r="J95" s="766"/>
      <c r="K95" s="729" t="s">
        <v>239</v>
      </c>
    </row>
    <row r="96" spans="1:16">
      <c r="C96" s="763" t="s">
        <v>72</v>
      </c>
      <c r="D96" s="807"/>
      <c r="E96" s="763" t="s">
        <v>73</v>
      </c>
      <c r="F96" s="764"/>
      <c r="H96" s="173"/>
      <c r="I96" s="767">
        <f>$G$70</f>
        <v>0.10915466337231856</v>
      </c>
      <c r="J96" s="768"/>
      <c r="K96" s="173" t="str">
        <f>"          INPUT PROJECTED ARR (WITH &amp; WITHOUT INCENTIVES) FROM EACH PRIOR YEAR"</f>
        <v xml:space="preserve">          INPUT PROJECTED ARR (WITH &amp; WITHOUT INCENTIVES) FROM EACH PRIOR YEAR</v>
      </c>
    </row>
    <row r="97" spans="2:15">
      <c r="C97" s="763" t="s">
        <v>74</v>
      </c>
      <c r="D97" s="769">
        <f>$G$79</f>
        <v>39</v>
      </c>
      <c r="E97" s="763" t="s">
        <v>75</v>
      </c>
      <c r="F97" s="764"/>
      <c r="H97" s="173"/>
      <c r="I97" s="767">
        <f>IF(G88="",I96,$G$69)</f>
        <v>0.10915466337231856</v>
      </c>
      <c r="J97" s="770"/>
      <c r="K97" s="173" t="s">
        <v>152</v>
      </c>
    </row>
    <row r="98" spans="2:15" ht="13.5" thickBot="1">
      <c r="C98" s="763" t="s">
        <v>76</v>
      </c>
      <c r="D98" s="806"/>
      <c r="E98" s="771" t="s">
        <v>77</v>
      </c>
      <c r="F98" s="772"/>
      <c r="G98" s="773"/>
      <c r="H98" s="773"/>
      <c r="I98" s="751">
        <f>IF(D94=0,0,D94/D97)</f>
        <v>0</v>
      </c>
      <c r="J98" s="729"/>
      <c r="K98" s="729" t="s">
        <v>158</v>
      </c>
      <c r="L98" s="729"/>
      <c r="M98" s="729"/>
      <c r="N98" s="729"/>
      <c r="O98" s="425"/>
    </row>
    <row r="99" spans="2:15" ht="51">
      <c r="B99" s="844"/>
      <c r="C99" s="774" t="s">
        <v>67</v>
      </c>
      <c r="D99" s="775" t="s">
        <v>78</v>
      </c>
      <c r="E99" s="776" t="s">
        <v>79</v>
      </c>
      <c r="F99" s="775" t="s">
        <v>80</v>
      </c>
      <c r="G99" s="776" t="s">
        <v>151</v>
      </c>
      <c r="H99" s="777" t="s">
        <v>151</v>
      </c>
      <c r="I99" s="774" t="s">
        <v>90</v>
      </c>
      <c r="J99" s="778"/>
      <c r="K99" s="776" t="s">
        <v>160</v>
      </c>
      <c r="L99" s="779"/>
      <c r="M99" s="776" t="s">
        <v>160</v>
      </c>
      <c r="N99" s="779"/>
      <c r="O99" s="779"/>
    </row>
    <row r="100" spans="2:15" ht="13.5" thickBot="1">
      <c r="C100" s="780" t="s">
        <v>469</v>
      </c>
      <c r="D100" s="781" t="s">
        <v>470</v>
      </c>
      <c r="E100" s="780" t="s">
        <v>363</v>
      </c>
      <c r="F100" s="781" t="s">
        <v>470</v>
      </c>
      <c r="G100" s="782" t="s">
        <v>93</v>
      </c>
      <c r="H100" s="783" t="s">
        <v>95</v>
      </c>
      <c r="I100" s="784" t="s">
        <v>15</v>
      </c>
      <c r="J100" s="785"/>
      <c r="K100" s="782" t="s">
        <v>82</v>
      </c>
      <c r="L100" s="786"/>
      <c r="M100" s="782" t="s">
        <v>95</v>
      </c>
      <c r="N100" s="786"/>
      <c r="O100" s="786"/>
    </row>
    <row r="101" spans="2:15">
      <c r="C101" s="787" t="str">
        <f>IF(D95= "","-",D95)</f>
        <v>-</v>
      </c>
      <c r="D101" s="735">
        <f>+D94</f>
        <v>0</v>
      </c>
      <c r="E101" s="788">
        <f>+I98/12*(12-D96)</f>
        <v>0</v>
      </c>
      <c r="F101" s="735">
        <f>+D101-E101</f>
        <v>0</v>
      </c>
      <c r="G101" s="997">
        <f>+$I$96*((D101+F101)/2)+E101</f>
        <v>0</v>
      </c>
      <c r="H101" s="998">
        <f>$I$97*((D101+F101)/2)+E101</f>
        <v>0</v>
      </c>
      <c r="I101" s="791">
        <f>+H101-G101</f>
        <v>0</v>
      </c>
      <c r="J101" s="791"/>
      <c r="K101" s="810"/>
      <c r="L101" s="792"/>
      <c r="M101" s="810"/>
      <c r="N101" s="792"/>
      <c r="O101" s="792"/>
    </row>
    <row r="102" spans="2:15">
      <c r="C102" s="787" t="str">
        <f>IF(D95="","-",+C101+1)</f>
        <v>-</v>
      </c>
      <c r="D102" s="735">
        <f t="shared" ref="D102:D160" si="0">F101</f>
        <v>0</v>
      </c>
      <c r="E102" s="788">
        <f>IF(D102&gt;$I$98,$I$98,D102)</f>
        <v>0</v>
      </c>
      <c r="F102" s="735">
        <f t="shared" ref="F102:F160" si="1">+D102-E102</f>
        <v>0</v>
      </c>
      <c r="G102" s="793">
        <f t="shared" ref="G102:G160" si="2">+$I$96*((D102+F102)/2)+E102</f>
        <v>0</v>
      </c>
      <c r="H102" s="794">
        <f t="shared" ref="H102:H160" si="3">$I$97*((D102+F102)/2)+E102</f>
        <v>0</v>
      </c>
      <c r="I102" s="791">
        <f t="shared" ref="I102:I160" si="4">+H102-G102</f>
        <v>0</v>
      </c>
      <c r="J102" s="791"/>
      <c r="K102" s="811"/>
      <c r="L102" s="795"/>
      <c r="M102" s="811"/>
      <c r="N102" s="795"/>
      <c r="O102" s="795"/>
    </row>
    <row r="103" spans="2:15">
      <c r="C103" s="787" t="str">
        <f>IF(D95="","-",+C102+1)</f>
        <v>-</v>
      </c>
      <c r="D103" s="735">
        <f t="shared" si="0"/>
        <v>0</v>
      </c>
      <c r="E103" s="788">
        <f t="shared" ref="E103:E160" si="5">IF(D103&gt;$I$98,$I$98,D103)</f>
        <v>0</v>
      </c>
      <c r="F103" s="735">
        <f t="shared" si="1"/>
        <v>0</v>
      </c>
      <c r="G103" s="793">
        <f t="shared" si="2"/>
        <v>0</v>
      </c>
      <c r="H103" s="794">
        <f t="shared" si="3"/>
        <v>0</v>
      </c>
      <c r="I103" s="791">
        <f t="shared" si="4"/>
        <v>0</v>
      </c>
      <c r="J103" s="791"/>
      <c r="K103" s="811"/>
      <c r="L103" s="795"/>
      <c r="M103" s="811"/>
      <c r="N103" s="795"/>
      <c r="O103" s="795"/>
    </row>
    <row r="104" spans="2:15">
      <c r="C104" s="787" t="str">
        <f>IF(D95="","-",+C103+1)</f>
        <v>-</v>
      </c>
      <c r="D104" s="735">
        <f t="shared" si="0"/>
        <v>0</v>
      </c>
      <c r="E104" s="788">
        <f t="shared" si="5"/>
        <v>0</v>
      </c>
      <c r="F104" s="735">
        <f t="shared" si="1"/>
        <v>0</v>
      </c>
      <c r="G104" s="793">
        <f t="shared" si="2"/>
        <v>0</v>
      </c>
      <c r="H104" s="794">
        <f t="shared" si="3"/>
        <v>0</v>
      </c>
      <c r="I104" s="791">
        <f t="shared" si="4"/>
        <v>0</v>
      </c>
      <c r="J104" s="791"/>
      <c r="K104" s="811"/>
      <c r="L104" s="795"/>
      <c r="M104" s="811"/>
      <c r="N104" s="795"/>
      <c r="O104" s="795"/>
    </row>
    <row r="105" spans="2:15">
      <c r="C105" s="787" t="str">
        <f>IF(D95="","-",+C104+1)</f>
        <v>-</v>
      </c>
      <c r="D105" s="735">
        <f t="shared" si="0"/>
        <v>0</v>
      </c>
      <c r="E105" s="788">
        <f t="shared" si="5"/>
        <v>0</v>
      </c>
      <c r="F105" s="735">
        <f t="shared" si="1"/>
        <v>0</v>
      </c>
      <c r="G105" s="793">
        <f t="shared" si="2"/>
        <v>0</v>
      </c>
      <c r="H105" s="794">
        <f t="shared" si="3"/>
        <v>0</v>
      </c>
      <c r="I105" s="791">
        <f t="shared" si="4"/>
        <v>0</v>
      </c>
      <c r="J105" s="791"/>
      <c r="K105" s="811"/>
      <c r="L105" s="795"/>
      <c r="M105" s="811"/>
      <c r="N105" s="795"/>
      <c r="O105" s="795"/>
    </row>
    <row r="106" spans="2:15">
      <c r="C106" s="787" t="str">
        <f>IF(D95="","-",+C105+1)</f>
        <v>-</v>
      </c>
      <c r="D106" s="735">
        <f t="shared" si="0"/>
        <v>0</v>
      </c>
      <c r="E106" s="788">
        <f t="shared" si="5"/>
        <v>0</v>
      </c>
      <c r="F106" s="735">
        <f t="shared" si="1"/>
        <v>0</v>
      </c>
      <c r="G106" s="793">
        <f t="shared" si="2"/>
        <v>0</v>
      </c>
      <c r="H106" s="794">
        <f t="shared" si="3"/>
        <v>0</v>
      </c>
      <c r="I106" s="791">
        <f t="shared" si="4"/>
        <v>0</v>
      </c>
      <c r="J106" s="791"/>
      <c r="K106" s="811"/>
      <c r="L106" s="795"/>
      <c r="M106" s="811"/>
      <c r="N106" s="795"/>
      <c r="O106" s="795"/>
    </row>
    <row r="107" spans="2:15">
      <c r="C107" s="787" t="str">
        <f>IF(D95="","-",+C106+1)</f>
        <v>-</v>
      </c>
      <c r="D107" s="735">
        <f t="shared" si="0"/>
        <v>0</v>
      </c>
      <c r="E107" s="788">
        <f t="shared" si="5"/>
        <v>0</v>
      </c>
      <c r="F107" s="735">
        <f t="shared" si="1"/>
        <v>0</v>
      </c>
      <c r="G107" s="793">
        <f t="shared" si="2"/>
        <v>0</v>
      </c>
      <c r="H107" s="794">
        <f t="shared" si="3"/>
        <v>0</v>
      </c>
      <c r="I107" s="791">
        <f t="shared" si="4"/>
        <v>0</v>
      </c>
      <c r="J107" s="791"/>
      <c r="K107" s="811"/>
      <c r="L107" s="795"/>
      <c r="M107" s="811"/>
      <c r="N107" s="795"/>
      <c r="O107" s="795"/>
    </row>
    <row r="108" spans="2:15">
      <c r="C108" s="787" t="str">
        <f>IF(D95="","-",+C107+1)</f>
        <v>-</v>
      </c>
      <c r="D108" s="735">
        <f t="shared" si="0"/>
        <v>0</v>
      </c>
      <c r="E108" s="788">
        <f t="shared" si="5"/>
        <v>0</v>
      </c>
      <c r="F108" s="735">
        <f t="shared" si="1"/>
        <v>0</v>
      </c>
      <c r="G108" s="793">
        <f t="shared" si="2"/>
        <v>0</v>
      </c>
      <c r="H108" s="794">
        <f t="shared" si="3"/>
        <v>0</v>
      </c>
      <c r="I108" s="791">
        <f t="shared" si="4"/>
        <v>0</v>
      </c>
      <c r="J108" s="791"/>
      <c r="K108" s="811"/>
      <c r="L108" s="795"/>
      <c r="M108" s="811"/>
      <c r="N108" s="795"/>
      <c r="O108" s="795"/>
    </row>
    <row r="109" spans="2:15">
      <c r="C109" s="787" t="str">
        <f>IF(D95="","-",+C108+1)</f>
        <v>-</v>
      </c>
      <c r="D109" s="735">
        <f t="shared" si="0"/>
        <v>0</v>
      </c>
      <c r="E109" s="788">
        <f t="shared" si="5"/>
        <v>0</v>
      </c>
      <c r="F109" s="735">
        <f t="shared" si="1"/>
        <v>0</v>
      </c>
      <c r="G109" s="793">
        <f t="shared" si="2"/>
        <v>0</v>
      </c>
      <c r="H109" s="794">
        <f t="shared" si="3"/>
        <v>0</v>
      </c>
      <c r="I109" s="791">
        <f t="shared" si="4"/>
        <v>0</v>
      </c>
      <c r="J109" s="791"/>
      <c r="K109" s="811"/>
      <c r="L109" s="795"/>
      <c r="M109" s="811"/>
      <c r="N109" s="795"/>
      <c r="O109" s="795"/>
    </row>
    <row r="110" spans="2:15">
      <c r="C110" s="787" t="str">
        <f>IF(D95="","-",+C109+1)</f>
        <v>-</v>
      </c>
      <c r="D110" s="735">
        <f t="shared" si="0"/>
        <v>0</v>
      </c>
      <c r="E110" s="788">
        <f t="shared" si="5"/>
        <v>0</v>
      </c>
      <c r="F110" s="735">
        <f t="shared" si="1"/>
        <v>0</v>
      </c>
      <c r="G110" s="793">
        <f t="shared" si="2"/>
        <v>0</v>
      </c>
      <c r="H110" s="794">
        <f t="shared" si="3"/>
        <v>0</v>
      </c>
      <c r="I110" s="791">
        <f t="shared" si="4"/>
        <v>0</v>
      </c>
      <c r="J110" s="791"/>
      <c r="K110" s="811"/>
      <c r="L110" s="795"/>
      <c r="M110" s="811"/>
      <c r="N110" s="795"/>
      <c r="O110" s="795"/>
    </row>
    <row r="111" spans="2:15">
      <c r="C111" s="787" t="str">
        <f>IF(D95="","-",+C110+1)</f>
        <v>-</v>
      </c>
      <c r="D111" s="735">
        <f t="shared" si="0"/>
        <v>0</v>
      </c>
      <c r="E111" s="788">
        <f t="shared" si="5"/>
        <v>0</v>
      </c>
      <c r="F111" s="735">
        <f t="shared" si="1"/>
        <v>0</v>
      </c>
      <c r="G111" s="793">
        <f t="shared" si="2"/>
        <v>0</v>
      </c>
      <c r="H111" s="794">
        <f t="shared" si="3"/>
        <v>0</v>
      </c>
      <c r="I111" s="791">
        <f t="shared" si="4"/>
        <v>0</v>
      </c>
      <c r="J111" s="791"/>
      <c r="K111" s="811"/>
      <c r="L111" s="795"/>
      <c r="M111" s="811"/>
      <c r="N111" s="795"/>
      <c r="O111" s="795"/>
    </row>
    <row r="112" spans="2:15">
      <c r="C112" s="787" t="str">
        <f>IF(D95="","-",+C111+1)</f>
        <v>-</v>
      </c>
      <c r="D112" s="735">
        <f t="shared" si="0"/>
        <v>0</v>
      </c>
      <c r="E112" s="788">
        <f t="shared" si="5"/>
        <v>0</v>
      </c>
      <c r="F112" s="735">
        <f t="shared" si="1"/>
        <v>0</v>
      </c>
      <c r="G112" s="793">
        <f t="shared" si="2"/>
        <v>0</v>
      </c>
      <c r="H112" s="794">
        <f t="shared" si="3"/>
        <v>0</v>
      </c>
      <c r="I112" s="791">
        <f t="shared" si="4"/>
        <v>0</v>
      </c>
      <c r="J112" s="791"/>
      <c r="K112" s="811"/>
      <c r="L112" s="795"/>
      <c r="M112" s="811"/>
      <c r="N112" s="795"/>
      <c r="O112" s="795"/>
    </row>
    <row r="113" spans="3:15">
      <c r="C113" s="787" t="str">
        <f>IF(D95="","-",+C112+1)</f>
        <v>-</v>
      </c>
      <c r="D113" s="735">
        <f t="shared" si="0"/>
        <v>0</v>
      </c>
      <c r="E113" s="788">
        <f t="shared" si="5"/>
        <v>0</v>
      </c>
      <c r="F113" s="735">
        <f t="shared" si="1"/>
        <v>0</v>
      </c>
      <c r="G113" s="793">
        <f t="shared" si="2"/>
        <v>0</v>
      </c>
      <c r="H113" s="794">
        <f t="shared" si="3"/>
        <v>0</v>
      </c>
      <c r="I113" s="791">
        <f t="shared" si="4"/>
        <v>0</v>
      </c>
      <c r="J113" s="791"/>
      <c r="K113" s="811"/>
      <c r="L113" s="795"/>
      <c r="M113" s="811"/>
      <c r="N113" s="796"/>
      <c r="O113" s="795"/>
    </row>
    <row r="114" spans="3:15">
      <c r="C114" s="787" t="str">
        <f>IF(D95="","-",+C113+1)</f>
        <v>-</v>
      </c>
      <c r="D114" s="735">
        <f t="shared" si="0"/>
        <v>0</v>
      </c>
      <c r="E114" s="788">
        <f t="shared" si="5"/>
        <v>0</v>
      </c>
      <c r="F114" s="735">
        <f t="shared" si="1"/>
        <v>0</v>
      </c>
      <c r="G114" s="793">
        <f t="shared" si="2"/>
        <v>0</v>
      </c>
      <c r="H114" s="794">
        <f t="shared" si="3"/>
        <v>0</v>
      </c>
      <c r="I114" s="791">
        <f t="shared" si="4"/>
        <v>0</v>
      </c>
      <c r="J114" s="791"/>
      <c r="K114" s="811"/>
      <c r="L114" s="795"/>
      <c r="M114" s="811"/>
      <c r="N114" s="795"/>
      <c r="O114" s="795"/>
    </row>
    <row r="115" spans="3:15">
      <c r="C115" s="787" t="str">
        <f>IF(D95="","-",+C114+1)</f>
        <v>-</v>
      </c>
      <c r="D115" s="735">
        <f t="shared" si="0"/>
        <v>0</v>
      </c>
      <c r="E115" s="788">
        <f t="shared" si="5"/>
        <v>0</v>
      </c>
      <c r="F115" s="735">
        <f t="shared" si="1"/>
        <v>0</v>
      </c>
      <c r="G115" s="793">
        <f t="shared" si="2"/>
        <v>0</v>
      </c>
      <c r="H115" s="794">
        <f t="shared" si="3"/>
        <v>0</v>
      </c>
      <c r="I115" s="791">
        <f t="shared" si="4"/>
        <v>0</v>
      </c>
      <c r="J115" s="791"/>
      <c r="K115" s="811"/>
      <c r="L115" s="795"/>
      <c r="M115" s="811"/>
      <c r="N115" s="795"/>
      <c r="O115" s="795"/>
    </row>
    <row r="116" spans="3:15">
      <c r="C116" s="787" t="str">
        <f>IF(D95="","-",+C115+1)</f>
        <v>-</v>
      </c>
      <c r="D116" s="735">
        <f t="shared" si="0"/>
        <v>0</v>
      </c>
      <c r="E116" s="788">
        <f t="shared" si="5"/>
        <v>0</v>
      </c>
      <c r="F116" s="735">
        <f t="shared" si="1"/>
        <v>0</v>
      </c>
      <c r="G116" s="793">
        <f t="shared" si="2"/>
        <v>0</v>
      </c>
      <c r="H116" s="794">
        <f t="shared" si="3"/>
        <v>0</v>
      </c>
      <c r="I116" s="791">
        <f t="shared" si="4"/>
        <v>0</v>
      </c>
      <c r="J116" s="791"/>
      <c r="K116" s="811"/>
      <c r="L116" s="795"/>
      <c r="M116" s="811"/>
      <c r="N116" s="795"/>
      <c r="O116" s="795"/>
    </row>
    <row r="117" spans="3:15">
      <c r="C117" s="787" t="str">
        <f>IF(D95="","-",+C116+1)</f>
        <v>-</v>
      </c>
      <c r="D117" s="735">
        <f t="shared" si="0"/>
        <v>0</v>
      </c>
      <c r="E117" s="788">
        <f t="shared" si="5"/>
        <v>0</v>
      </c>
      <c r="F117" s="735">
        <f t="shared" si="1"/>
        <v>0</v>
      </c>
      <c r="G117" s="793">
        <f t="shared" si="2"/>
        <v>0</v>
      </c>
      <c r="H117" s="794">
        <f t="shared" si="3"/>
        <v>0</v>
      </c>
      <c r="I117" s="791">
        <f t="shared" si="4"/>
        <v>0</v>
      </c>
      <c r="J117" s="791"/>
      <c r="K117" s="811"/>
      <c r="L117" s="795"/>
      <c r="M117" s="811"/>
      <c r="N117" s="795"/>
      <c r="O117" s="795"/>
    </row>
    <row r="118" spans="3:15">
      <c r="C118" s="787" t="str">
        <f>IF(D95="","-",+C117+1)</f>
        <v>-</v>
      </c>
      <c r="D118" s="735">
        <f t="shared" si="0"/>
        <v>0</v>
      </c>
      <c r="E118" s="788">
        <f t="shared" si="5"/>
        <v>0</v>
      </c>
      <c r="F118" s="735">
        <f t="shared" si="1"/>
        <v>0</v>
      </c>
      <c r="G118" s="793">
        <f t="shared" si="2"/>
        <v>0</v>
      </c>
      <c r="H118" s="794">
        <f t="shared" si="3"/>
        <v>0</v>
      </c>
      <c r="I118" s="791">
        <f t="shared" si="4"/>
        <v>0</v>
      </c>
      <c r="J118" s="791"/>
      <c r="K118" s="811"/>
      <c r="L118" s="795"/>
      <c r="M118" s="811"/>
      <c r="N118" s="795"/>
      <c r="O118" s="795"/>
    </row>
    <row r="119" spans="3:15">
      <c r="C119" s="787" t="str">
        <f>IF(D95="","-",+C118+1)</f>
        <v>-</v>
      </c>
      <c r="D119" s="735">
        <f t="shared" si="0"/>
        <v>0</v>
      </c>
      <c r="E119" s="788">
        <f t="shared" si="5"/>
        <v>0</v>
      </c>
      <c r="F119" s="735">
        <f t="shared" si="1"/>
        <v>0</v>
      </c>
      <c r="G119" s="793">
        <f t="shared" si="2"/>
        <v>0</v>
      </c>
      <c r="H119" s="794">
        <f t="shared" si="3"/>
        <v>0</v>
      </c>
      <c r="I119" s="791">
        <f t="shared" si="4"/>
        <v>0</v>
      </c>
      <c r="J119" s="791"/>
      <c r="K119" s="811"/>
      <c r="L119" s="795"/>
      <c r="M119" s="811"/>
      <c r="N119" s="795"/>
      <c r="O119" s="795"/>
    </row>
    <row r="120" spans="3:15">
      <c r="C120" s="787" t="str">
        <f>IF(D95="","-",+C119+1)</f>
        <v>-</v>
      </c>
      <c r="D120" s="735">
        <f t="shared" si="0"/>
        <v>0</v>
      </c>
      <c r="E120" s="788">
        <f t="shared" si="5"/>
        <v>0</v>
      </c>
      <c r="F120" s="735">
        <f t="shared" si="1"/>
        <v>0</v>
      </c>
      <c r="G120" s="793">
        <f t="shared" si="2"/>
        <v>0</v>
      </c>
      <c r="H120" s="794">
        <f t="shared" si="3"/>
        <v>0</v>
      </c>
      <c r="I120" s="791">
        <f t="shared" si="4"/>
        <v>0</v>
      </c>
      <c r="J120" s="791"/>
      <c r="K120" s="811"/>
      <c r="L120" s="795"/>
      <c r="M120" s="811"/>
      <c r="N120" s="795"/>
      <c r="O120" s="795"/>
    </row>
    <row r="121" spans="3:15">
      <c r="C121" s="787" t="str">
        <f>IF(D95="","-",+C120+1)</f>
        <v>-</v>
      </c>
      <c r="D121" s="735">
        <f t="shared" si="0"/>
        <v>0</v>
      </c>
      <c r="E121" s="788">
        <f t="shared" si="5"/>
        <v>0</v>
      </c>
      <c r="F121" s="735">
        <f t="shared" si="1"/>
        <v>0</v>
      </c>
      <c r="G121" s="793">
        <f t="shared" si="2"/>
        <v>0</v>
      </c>
      <c r="H121" s="794">
        <f t="shared" si="3"/>
        <v>0</v>
      </c>
      <c r="I121" s="791">
        <f t="shared" si="4"/>
        <v>0</v>
      </c>
      <c r="J121" s="791"/>
      <c r="K121" s="811"/>
      <c r="L121" s="795"/>
      <c r="M121" s="811"/>
      <c r="N121" s="795"/>
      <c r="O121" s="795"/>
    </row>
    <row r="122" spans="3:15">
      <c r="C122" s="787" t="str">
        <f>IF(D95="","-",+C121+1)</f>
        <v>-</v>
      </c>
      <c r="D122" s="735">
        <f t="shared" si="0"/>
        <v>0</v>
      </c>
      <c r="E122" s="788">
        <f t="shared" si="5"/>
        <v>0</v>
      </c>
      <c r="F122" s="735">
        <f t="shared" si="1"/>
        <v>0</v>
      </c>
      <c r="G122" s="793">
        <f t="shared" si="2"/>
        <v>0</v>
      </c>
      <c r="H122" s="794">
        <f t="shared" si="3"/>
        <v>0</v>
      </c>
      <c r="I122" s="791">
        <f t="shared" si="4"/>
        <v>0</v>
      </c>
      <c r="J122" s="791"/>
      <c r="K122" s="811"/>
      <c r="L122" s="795"/>
      <c r="M122" s="811"/>
      <c r="N122" s="795"/>
      <c r="O122" s="795"/>
    </row>
    <row r="123" spans="3:15">
      <c r="C123" s="787" t="str">
        <f>IF(D95="","-",+C122+1)</f>
        <v>-</v>
      </c>
      <c r="D123" s="735">
        <f t="shared" si="0"/>
        <v>0</v>
      </c>
      <c r="E123" s="788">
        <f t="shared" si="5"/>
        <v>0</v>
      </c>
      <c r="F123" s="735">
        <f t="shared" si="1"/>
        <v>0</v>
      </c>
      <c r="G123" s="793">
        <f t="shared" si="2"/>
        <v>0</v>
      </c>
      <c r="H123" s="794">
        <f t="shared" si="3"/>
        <v>0</v>
      </c>
      <c r="I123" s="791">
        <f t="shared" si="4"/>
        <v>0</v>
      </c>
      <c r="J123" s="791"/>
      <c r="K123" s="811"/>
      <c r="L123" s="795"/>
      <c r="M123" s="811"/>
      <c r="N123" s="795"/>
      <c r="O123" s="795"/>
    </row>
    <row r="124" spans="3:15">
      <c r="C124" s="787" t="str">
        <f>IF(D95="","-",+C123+1)</f>
        <v>-</v>
      </c>
      <c r="D124" s="735">
        <f t="shared" si="0"/>
        <v>0</v>
      </c>
      <c r="E124" s="788">
        <f t="shared" si="5"/>
        <v>0</v>
      </c>
      <c r="F124" s="735">
        <f t="shared" si="1"/>
        <v>0</v>
      </c>
      <c r="G124" s="793">
        <f t="shared" si="2"/>
        <v>0</v>
      </c>
      <c r="H124" s="794">
        <f t="shared" si="3"/>
        <v>0</v>
      </c>
      <c r="I124" s="791">
        <f t="shared" si="4"/>
        <v>0</v>
      </c>
      <c r="J124" s="791"/>
      <c r="K124" s="811"/>
      <c r="L124" s="795"/>
      <c r="M124" s="811"/>
      <c r="N124" s="795"/>
      <c r="O124" s="795"/>
    </row>
    <row r="125" spans="3:15">
      <c r="C125" s="787" t="str">
        <f>IF(D95="","-",+C124+1)</f>
        <v>-</v>
      </c>
      <c r="D125" s="735">
        <f t="shared" si="0"/>
        <v>0</v>
      </c>
      <c r="E125" s="788">
        <f t="shared" si="5"/>
        <v>0</v>
      </c>
      <c r="F125" s="735">
        <f t="shared" si="1"/>
        <v>0</v>
      </c>
      <c r="G125" s="793">
        <f t="shared" si="2"/>
        <v>0</v>
      </c>
      <c r="H125" s="794">
        <f t="shared" si="3"/>
        <v>0</v>
      </c>
      <c r="I125" s="791">
        <f t="shared" si="4"/>
        <v>0</v>
      </c>
      <c r="J125" s="791"/>
      <c r="K125" s="811"/>
      <c r="L125" s="795"/>
      <c r="M125" s="811"/>
      <c r="N125" s="795"/>
      <c r="O125" s="795"/>
    </row>
    <row r="126" spans="3:15">
      <c r="C126" s="787" t="str">
        <f>IF(D95="","-",+C125+1)</f>
        <v>-</v>
      </c>
      <c r="D126" s="735">
        <f t="shared" si="0"/>
        <v>0</v>
      </c>
      <c r="E126" s="788">
        <f t="shared" si="5"/>
        <v>0</v>
      </c>
      <c r="F126" s="735">
        <f t="shared" si="1"/>
        <v>0</v>
      </c>
      <c r="G126" s="793">
        <f t="shared" si="2"/>
        <v>0</v>
      </c>
      <c r="H126" s="794">
        <f t="shared" si="3"/>
        <v>0</v>
      </c>
      <c r="I126" s="791">
        <f t="shared" si="4"/>
        <v>0</v>
      </c>
      <c r="J126" s="791"/>
      <c r="K126" s="811"/>
      <c r="L126" s="795"/>
      <c r="M126" s="811"/>
      <c r="N126" s="795"/>
      <c r="O126" s="795"/>
    </row>
    <row r="127" spans="3:15">
      <c r="C127" s="787" t="str">
        <f>IF(D95="","-",+C126+1)</f>
        <v>-</v>
      </c>
      <c r="D127" s="735">
        <f t="shared" si="0"/>
        <v>0</v>
      </c>
      <c r="E127" s="788">
        <f t="shared" si="5"/>
        <v>0</v>
      </c>
      <c r="F127" s="735">
        <f t="shared" si="1"/>
        <v>0</v>
      </c>
      <c r="G127" s="793">
        <f t="shared" si="2"/>
        <v>0</v>
      </c>
      <c r="H127" s="794">
        <f t="shared" si="3"/>
        <v>0</v>
      </c>
      <c r="I127" s="791">
        <f t="shared" si="4"/>
        <v>0</v>
      </c>
      <c r="J127" s="791"/>
      <c r="K127" s="811"/>
      <c r="L127" s="795"/>
      <c r="M127" s="811"/>
      <c r="N127" s="795"/>
      <c r="O127" s="795"/>
    </row>
    <row r="128" spans="3:15">
      <c r="C128" s="787" t="str">
        <f>IF(D95="","-",+C127+1)</f>
        <v>-</v>
      </c>
      <c r="D128" s="735">
        <f t="shared" si="0"/>
        <v>0</v>
      </c>
      <c r="E128" s="788">
        <f t="shared" si="5"/>
        <v>0</v>
      </c>
      <c r="F128" s="735">
        <f t="shared" si="1"/>
        <v>0</v>
      </c>
      <c r="G128" s="793">
        <f t="shared" si="2"/>
        <v>0</v>
      </c>
      <c r="H128" s="794">
        <f t="shared" si="3"/>
        <v>0</v>
      </c>
      <c r="I128" s="791">
        <f t="shared" si="4"/>
        <v>0</v>
      </c>
      <c r="J128" s="791"/>
      <c r="K128" s="811"/>
      <c r="L128" s="795"/>
      <c r="M128" s="811"/>
      <c r="N128" s="795"/>
      <c r="O128" s="795"/>
    </row>
    <row r="129" spans="3:15">
      <c r="C129" s="787" t="str">
        <f>IF(D95="","-",+C128+1)</f>
        <v>-</v>
      </c>
      <c r="D129" s="735">
        <f t="shared" si="0"/>
        <v>0</v>
      </c>
      <c r="E129" s="788">
        <f t="shared" si="5"/>
        <v>0</v>
      </c>
      <c r="F129" s="735">
        <f t="shared" si="1"/>
        <v>0</v>
      </c>
      <c r="G129" s="789">
        <f t="shared" si="2"/>
        <v>0</v>
      </c>
      <c r="H129" s="794">
        <f t="shared" si="3"/>
        <v>0</v>
      </c>
      <c r="I129" s="791">
        <f t="shared" si="4"/>
        <v>0</v>
      </c>
      <c r="J129" s="791"/>
      <c r="K129" s="811"/>
      <c r="L129" s="795"/>
      <c r="M129" s="811"/>
      <c r="N129" s="795"/>
      <c r="O129" s="795"/>
    </row>
    <row r="130" spans="3:15">
      <c r="C130" s="787" t="str">
        <f>IF(D95="","-",+C129+1)</f>
        <v>-</v>
      </c>
      <c r="D130" s="735">
        <f t="shared" si="0"/>
        <v>0</v>
      </c>
      <c r="E130" s="788">
        <f t="shared" si="5"/>
        <v>0</v>
      </c>
      <c r="F130" s="735">
        <f t="shared" si="1"/>
        <v>0</v>
      </c>
      <c r="G130" s="793">
        <f t="shared" si="2"/>
        <v>0</v>
      </c>
      <c r="H130" s="794">
        <f t="shared" si="3"/>
        <v>0</v>
      </c>
      <c r="I130" s="791">
        <f t="shared" si="4"/>
        <v>0</v>
      </c>
      <c r="J130" s="791"/>
      <c r="K130" s="811"/>
      <c r="L130" s="795"/>
      <c r="M130" s="811"/>
      <c r="N130" s="795"/>
      <c r="O130" s="795"/>
    </row>
    <row r="131" spans="3:15">
      <c r="C131" s="787" t="str">
        <f>IF(D95="","-",+C130+1)</f>
        <v>-</v>
      </c>
      <c r="D131" s="735">
        <f t="shared" si="0"/>
        <v>0</v>
      </c>
      <c r="E131" s="788">
        <f t="shared" si="5"/>
        <v>0</v>
      </c>
      <c r="F131" s="735">
        <f t="shared" si="1"/>
        <v>0</v>
      </c>
      <c r="G131" s="793">
        <f t="shared" si="2"/>
        <v>0</v>
      </c>
      <c r="H131" s="794">
        <f t="shared" si="3"/>
        <v>0</v>
      </c>
      <c r="I131" s="791">
        <f t="shared" si="4"/>
        <v>0</v>
      </c>
      <c r="J131" s="791"/>
      <c r="K131" s="811"/>
      <c r="L131" s="795"/>
      <c r="M131" s="811"/>
      <c r="N131" s="795"/>
      <c r="O131" s="795"/>
    </row>
    <row r="132" spans="3:15">
      <c r="C132" s="787" t="str">
        <f>IF(D95="","-",+C131+1)</f>
        <v>-</v>
      </c>
      <c r="D132" s="735">
        <f t="shared" si="0"/>
        <v>0</v>
      </c>
      <c r="E132" s="788">
        <f t="shared" si="5"/>
        <v>0</v>
      </c>
      <c r="F132" s="735">
        <f t="shared" si="1"/>
        <v>0</v>
      </c>
      <c r="G132" s="793">
        <f t="shared" si="2"/>
        <v>0</v>
      </c>
      <c r="H132" s="794">
        <f t="shared" si="3"/>
        <v>0</v>
      </c>
      <c r="I132" s="791">
        <f t="shared" si="4"/>
        <v>0</v>
      </c>
      <c r="J132" s="791"/>
      <c r="K132" s="811"/>
      <c r="L132" s="795"/>
      <c r="M132" s="811"/>
      <c r="N132" s="795"/>
      <c r="O132" s="795"/>
    </row>
    <row r="133" spans="3:15">
      <c r="C133" s="787" t="str">
        <f>IF(D95="","-",+C132+1)</f>
        <v>-</v>
      </c>
      <c r="D133" s="735">
        <f t="shared" si="0"/>
        <v>0</v>
      </c>
      <c r="E133" s="788">
        <f t="shared" si="5"/>
        <v>0</v>
      </c>
      <c r="F133" s="735">
        <f t="shared" si="1"/>
        <v>0</v>
      </c>
      <c r="G133" s="793">
        <f t="shared" si="2"/>
        <v>0</v>
      </c>
      <c r="H133" s="794">
        <f t="shared" si="3"/>
        <v>0</v>
      </c>
      <c r="I133" s="791">
        <f t="shared" si="4"/>
        <v>0</v>
      </c>
      <c r="J133" s="791"/>
      <c r="K133" s="811"/>
      <c r="L133" s="795"/>
      <c r="M133" s="811"/>
      <c r="N133" s="795"/>
      <c r="O133" s="795"/>
    </row>
    <row r="134" spans="3:15">
      <c r="C134" s="787" t="str">
        <f>IF(D95="","-",+C133+1)</f>
        <v>-</v>
      </c>
      <c r="D134" s="735">
        <f t="shared" si="0"/>
        <v>0</v>
      </c>
      <c r="E134" s="788">
        <f t="shared" si="5"/>
        <v>0</v>
      </c>
      <c r="F134" s="735">
        <f t="shared" si="1"/>
        <v>0</v>
      </c>
      <c r="G134" s="793">
        <f t="shared" si="2"/>
        <v>0</v>
      </c>
      <c r="H134" s="794">
        <f t="shared" si="3"/>
        <v>0</v>
      </c>
      <c r="I134" s="791">
        <f t="shared" si="4"/>
        <v>0</v>
      </c>
      <c r="J134" s="791"/>
      <c r="K134" s="811"/>
      <c r="L134" s="795"/>
      <c r="M134" s="811"/>
      <c r="N134" s="795"/>
      <c r="O134" s="795"/>
    </row>
    <row r="135" spans="3:15">
      <c r="C135" s="787" t="str">
        <f>IF(D95="","-",+C134+1)</f>
        <v>-</v>
      </c>
      <c r="D135" s="735">
        <f t="shared" si="0"/>
        <v>0</v>
      </c>
      <c r="E135" s="788">
        <f t="shared" si="5"/>
        <v>0</v>
      </c>
      <c r="F135" s="735">
        <f t="shared" si="1"/>
        <v>0</v>
      </c>
      <c r="G135" s="793">
        <f t="shared" si="2"/>
        <v>0</v>
      </c>
      <c r="H135" s="794">
        <f t="shared" si="3"/>
        <v>0</v>
      </c>
      <c r="I135" s="791">
        <f t="shared" si="4"/>
        <v>0</v>
      </c>
      <c r="J135" s="791"/>
      <c r="K135" s="811"/>
      <c r="L135" s="795"/>
      <c r="M135" s="811"/>
      <c r="N135" s="795"/>
      <c r="O135" s="795"/>
    </row>
    <row r="136" spans="3:15">
      <c r="C136" s="787" t="str">
        <f>IF(D95="","-",+C135+1)</f>
        <v>-</v>
      </c>
      <c r="D136" s="735">
        <f t="shared" si="0"/>
        <v>0</v>
      </c>
      <c r="E136" s="788">
        <f t="shared" si="5"/>
        <v>0</v>
      </c>
      <c r="F136" s="735">
        <f t="shared" si="1"/>
        <v>0</v>
      </c>
      <c r="G136" s="793">
        <f t="shared" si="2"/>
        <v>0</v>
      </c>
      <c r="H136" s="794">
        <f t="shared" si="3"/>
        <v>0</v>
      </c>
      <c r="I136" s="791">
        <f t="shared" si="4"/>
        <v>0</v>
      </c>
      <c r="J136" s="791"/>
      <c r="K136" s="811"/>
      <c r="L136" s="795"/>
      <c r="M136" s="811"/>
      <c r="N136" s="795"/>
      <c r="O136" s="795"/>
    </row>
    <row r="137" spans="3:15">
      <c r="C137" s="787" t="str">
        <f>IF(D95="","-",+C136+1)</f>
        <v>-</v>
      </c>
      <c r="D137" s="735">
        <f t="shared" si="0"/>
        <v>0</v>
      </c>
      <c r="E137" s="788">
        <f t="shared" si="5"/>
        <v>0</v>
      </c>
      <c r="F137" s="735">
        <f t="shared" si="1"/>
        <v>0</v>
      </c>
      <c r="G137" s="793">
        <f t="shared" si="2"/>
        <v>0</v>
      </c>
      <c r="H137" s="794">
        <f t="shared" si="3"/>
        <v>0</v>
      </c>
      <c r="I137" s="791">
        <f t="shared" si="4"/>
        <v>0</v>
      </c>
      <c r="J137" s="791"/>
      <c r="K137" s="811"/>
      <c r="L137" s="795"/>
      <c r="M137" s="811"/>
      <c r="N137" s="795"/>
      <c r="O137" s="795"/>
    </row>
    <row r="138" spans="3:15">
      <c r="C138" s="787" t="str">
        <f>IF(D95="","-",+C137+1)</f>
        <v>-</v>
      </c>
      <c r="D138" s="735">
        <f t="shared" si="0"/>
        <v>0</v>
      </c>
      <c r="E138" s="788">
        <f t="shared" si="5"/>
        <v>0</v>
      </c>
      <c r="F138" s="735">
        <f t="shared" si="1"/>
        <v>0</v>
      </c>
      <c r="G138" s="793">
        <f t="shared" si="2"/>
        <v>0</v>
      </c>
      <c r="H138" s="794">
        <f t="shared" si="3"/>
        <v>0</v>
      </c>
      <c r="I138" s="791">
        <f t="shared" si="4"/>
        <v>0</v>
      </c>
      <c r="J138" s="791"/>
      <c r="K138" s="811"/>
      <c r="L138" s="795"/>
      <c r="M138" s="811"/>
      <c r="N138" s="795"/>
      <c r="O138" s="795"/>
    </row>
    <row r="139" spans="3:15">
      <c r="C139" s="787" t="str">
        <f>IF(D95="","-",+C138+1)</f>
        <v>-</v>
      </c>
      <c r="D139" s="735">
        <f t="shared" si="0"/>
        <v>0</v>
      </c>
      <c r="E139" s="788">
        <f t="shared" si="5"/>
        <v>0</v>
      </c>
      <c r="F139" s="735">
        <f t="shared" si="1"/>
        <v>0</v>
      </c>
      <c r="G139" s="793">
        <f t="shared" si="2"/>
        <v>0</v>
      </c>
      <c r="H139" s="794">
        <f t="shared" si="3"/>
        <v>0</v>
      </c>
      <c r="I139" s="791">
        <f t="shared" si="4"/>
        <v>0</v>
      </c>
      <c r="J139" s="791"/>
      <c r="K139" s="811"/>
      <c r="L139" s="795"/>
      <c r="M139" s="811"/>
      <c r="N139" s="795"/>
      <c r="O139" s="795"/>
    </row>
    <row r="140" spans="3:15">
      <c r="C140" s="787" t="str">
        <f>IF(D95="","-",+C139+1)</f>
        <v>-</v>
      </c>
      <c r="D140" s="735">
        <f t="shared" si="0"/>
        <v>0</v>
      </c>
      <c r="E140" s="788">
        <f t="shared" si="5"/>
        <v>0</v>
      </c>
      <c r="F140" s="735">
        <f t="shared" si="1"/>
        <v>0</v>
      </c>
      <c r="G140" s="793">
        <f t="shared" si="2"/>
        <v>0</v>
      </c>
      <c r="H140" s="794">
        <f t="shared" si="3"/>
        <v>0</v>
      </c>
      <c r="I140" s="791">
        <f t="shared" si="4"/>
        <v>0</v>
      </c>
      <c r="J140" s="791"/>
      <c r="K140" s="811"/>
      <c r="L140" s="795"/>
      <c r="M140" s="811"/>
      <c r="N140" s="795"/>
      <c r="O140" s="795"/>
    </row>
    <row r="141" spans="3:15">
      <c r="C141" s="787" t="str">
        <f>IF(D95="","-",+C140+1)</f>
        <v>-</v>
      </c>
      <c r="D141" s="735">
        <f t="shared" si="0"/>
        <v>0</v>
      </c>
      <c r="E141" s="788">
        <f t="shared" si="5"/>
        <v>0</v>
      </c>
      <c r="F141" s="735">
        <f t="shared" si="1"/>
        <v>0</v>
      </c>
      <c r="G141" s="793">
        <f t="shared" si="2"/>
        <v>0</v>
      </c>
      <c r="H141" s="794">
        <f t="shared" si="3"/>
        <v>0</v>
      </c>
      <c r="I141" s="791">
        <f t="shared" si="4"/>
        <v>0</v>
      </c>
      <c r="J141" s="791"/>
      <c r="K141" s="811"/>
      <c r="L141" s="795"/>
      <c r="M141" s="811"/>
      <c r="N141" s="795"/>
      <c r="O141" s="795"/>
    </row>
    <row r="142" spans="3:15">
      <c r="C142" s="787" t="str">
        <f>IF(D95="","-",+C141+1)</f>
        <v>-</v>
      </c>
      <c r="D142" s="735">
        <f t="shared" si="0"/>
        <v>0</v>
      </c>
      <c r="E142" s="788">
        <f t="shared" si="5"/>
        <v>0</v>
      </c>
      <c r="F142" s="735">
        <f t="shared" si="1"/>
        <v>0</v>
      </c>
      <c r="G142" s="793">
        <f t="shared" si="2"/>
        <v>0</v>
      </c>
      <c r="H142" s="794">
        <f t="shared" si="3"/>
        <v>0</v>
      </c>
      <c r="I142" s="791">
        <f t="shared" si="4"/>
        <v>0</v>
      </c>
      <c r="J142" s="791"/>
      <c r="K142" s="811"/>
      <c r="L142" s="795"/>
      <c r="M142" s="811"/>
      <c r="N142" s="795"/>
      <c r="O142" s="795"/>
    </row>
    <row r="143" spans="3:15">
      <c r="C143" s="787" t="str">
        <f>IF(D95="","-",+C142+1)</f>
        <v>-</v>
      </c>
      <c r="D143" s="735">
        <f t="shared" si="0"/>
        <v>0</v>
      </c>
      <c r="E143" s="788">
        <f t="shared" si="5"/>
        <v>0</v>
      </c>
      <c r="F143" s="735">
        <f t="shared" si="1"/>
        <v>0</v>
      </c>
      <c r="G143" s="793">
        <f t="shared" si="2"/>
        <v>0</v>
      </c>
      <c r="H143" s="794">
        <f t="shared" si="3"/>
        <v>0</v>
      </c>
      <c r="I143" s="791">
        <f t="shared" si="4"/>
        <v>0</v>
      </c>
      <c r="J143" s="791"/>
      <c r="K143" s="811"/>
      <c r="L143" s="795"/>
      <c r="M143" s="811"/>
      <c r="N143" s="795"/>
      <c r="O143" s="795"/>
    </row>
    <row r="144" spans="3:15">
      <c r="C144" s="787" t="str">
        <f>IF(D95="","-",+C143+1)</f>
        <v>-</v>
      </c>
      <c r="D144" s="735">
        <f t="shared" si="0"/>
        <v>0</v>
      </c>
      <c r="E144" s="788">
        <f t="shared" si="5"/>
        <v>0</v>
      </c>
      <c r="F144" s="735">
        <f t="shared" si="1"/>
        <v>0</v>
      </c>
      <c r="G144" s="793">
        <f t="shared" si="2"/>
        <v>0</v>
      </c>
      <c r="H144" s="794">
        <f t="shared" si="3"/>
        <v>0</v>
      </c>
      <c r="I144" s="791">
        <f t="shared" si="4"/>
        <v>0</v>
      </c>
      <c r="J144" s="791"/>
      <c r="K144" s="811"/>
      <c r="L144" s="795"/>
      <c r="M144" s="811"/>
      <c r="N144" s="795"/>
      <c r="O144" s="795"/>
    </row>
    <row r="145" spans="3:15">
      <c r="C145" s="787" t="str">
        <f>IF(D95="","-",+C144+1)</f>
        <v>-</v>
      </c>
      <c r="D145" s="735">
        <f t="shared" si="0"/>
        <v>0</v>
      </c>
      <c r="E145" s="788">
        <f t="shared" si="5"/>
        <v>0</v>
      </c>
      <c r="F145" s="735">
        <f t="shared" si="1"/>
        <v>0</v>
      </c>
      <c r="G145" s="793">
        <f t="shared" si="2"/>
        <v>0</v>
      </c>
      <c r="H145" s="794">
        <f t="shared" si="3"/>
        <v>0</v>
      </c>
      <c r="I145" s="791">
        <f t="shared" si="4"/>
        <v>0</v>
      </c>
      <c r="J145" s="791"/>
      <c r="K145" s="811"/>
      <c r="L145" s="795"/>
      <c r="M145" s="811"/>
      <c r="N145" s="795"/>
      <c r="O145" s="795"/>
    </row>
    <row r="146" spans="3:15">
      <c r="C146" s="787" t="str">
        <f>IF(D95="","-",+C145+1)</f>
        <v>-</v>
      </c>
      <c r="D146" s="735">
        <f t="shared" si="0"/>
        <v>0</v>
      </c>
      <c r="E146" s="788">
        <f t="shared" si="5"/>
        <v>0</v>
      </c>
      <c r="F146" s="735">
        <f t="shared" si="1"/>
        <v>0</v>
      </c>
      <c r="G146" s="793">
        <f t="shared" si="2"/>
        <v>0</v>
      </c>
      <c r="H146" s="794">
        <f t="shared" si="3"/>
        <v>0</v>
      </c>
      <c r="I146" s="791">
        <f t="shared" si="4"/>
        <v>0</v>
      </c>
      <c r="J146" s="791"/>
      <c r="K146" s="811"/>
      <c r="L146" s="795"/>
      <c r="M146" s="811"/>
      <c r="N146" s="795"/>
      <c r="O146" s="795"/>
    </row>
    <row r="147" spans="3:15">
      <c r="C147" s="787" t="str">
        <f>IF(D95="","-",+C146+1)</f>
        <v>-</v>
      </c>
      <c r="D147" s="735">
        <f t="shared" si="0"/>
        <v>0</v>
      </c>
      <c r="E147" s="788">
        <f t="shared" si="5"/>
        <v>0</v>
      </c>
      <c r="F147" s="735">
        <f t="shared" si="1"/>
        <v>0</v>
      </c>
      <c r="G147" s="793">
        <f t="shared" si="2"/>
        <v>0</v>
      </c>
      <c r="H147" s="794">
        <f t="shared" si="3"/>
        <v>0</v>
      </c>
      <c r="I147" s="791">
        <f t="shared" si="4"/>
        <v>0</v>
      </c>
      <c r="J147" s="791"/>
      <c r="K147" s="811"/>
      <c r="L147" s="795"/>
      <c r="M147" s="811"/>
      <c r="N147" s="795"/>
      <c r="O147" s="795"/>
    </row>
    <row r="148" spans="3:15">
      <c r="C148" s="787" t="str">
        <f>IF(D95="","-",+C147+1)</f>
        <v>-</v>
      </c>
      <c r="D148" s="735">
        <f t="shared" si="0"/>
        <v>0</v>
      </c>
      <c r="E148" s="788">
        <f t="shared" si="5"/>
        <v>0</v>
      </c>
      <c r="F148" s="735">
        <f t="shared" si="1"/>
        <v>0</v>
      </c>
      <c r="G148" s="793">
        <f t="shared" si="2"/>
        <v>0</v>
      </c>
      <c r="H148" s="794">
        <f t="shared" si="3"/>
        <v>0</v>
      </c>
      <c r="I148" s="791">
        <f t="shared" si="4"/>
        <v>0</v>
      </c>
      <c r="J148" s="791"/>
      <c r="K148" s="811"/>
      <c r="L148" s="795"/>
      <c r="M148" s="811"/>
      <c r="N148" s="795"/>
      <c r="O148" s="795"/>
    </row>
    <row r="149" spans="3:15">
      <c r="C149" s="787" t="str">
        <f>IF(D95="","-",+C148+1)</f>
        <v>-</v>
      </c>
      <c r="D149" s="735">
        <f t="shared" si="0"/>
        <v>0</v>
      </c>
      <c r="E149" s="788">
        <f t="shared" si="5"/>
        <v>0</v>
      </c>
      <c r="F149" s="735">
        <f t="shared" si="1"/>
        <v>0</v>
      </c>
      <c r="G149" s="793">
        <f t="shared" si="2"/>
        <v>0</v>
      </c>
      <c r="H149" s="794">
        <f t="shared" si="3"/>
        <v>0</v>
      </c>
      <c r="I149" s="791">
        <f t="shared" si="4"/>
        <v>0</v>
      </c>
      <c r="J149" s="791"/>
      <c r="K149" s="811"/>
      <c r="L149" s="795"/>
      <c r="M149" s="811"/>
      <c r="N149" s="795"/>
      <c r="O149" s="795"/>
    </row>
    <row r="150" spans="3:15">
      <c r="C150" s="787" t="str">
        <f>IF(D95="","-",+C149+1)</f>
        <v>-</v>
      </c>
      <c r="D150" s="735">
        <f t="shared" si="0"/>
        <v>0</v>
      </c>
      <c r="E150" s="788">
        <f t="shared" si="5"/>
        <v>0</v>
      </c>
      <c r="F150" s="735">
        <f t="shared" si="1"/>
        <v>0</v>
      </c>
      <c r="G150" s="793">
        <f t="shared" si="2"/>
        <v>0</v>
      </c>
      <c r="H150" s="794">
        <f t="shared" si="3"/>
        <v>0</v>
      </c>
      <c r="I150" s="791">
        <f t="shared" si="4"/>
        <v>0</v>
      </c>
      <c r="J150" s="791"/>
      <c r="K150" s="811"/>
      <c r="L150" s="795"/>
      <c r="M150" s="811"/>
      <c r="N150" s="795"/>
      <c r="O150" s="795"/>
    </row>
    <row r="151" spans="3:15">
      <c r="C151" s="787" t="str">
        <f>IF(D95="","-",+C150+1)</f>
        <v>-</v>
      </c>
      <c r="D151" s="735">
        <f t="shared" si="0"/>
        <v>0</v>
      </c>
      <c r="E151" s="788">
        <f t="shared" si="5"/>
        <v>0</v>
      </c>
      <c r="F151" s="735">
        <f t="shared" si="1"/>
        <v>0</v>
      </c>
      <c r="G151" s="793">
        <f t="shared" si="2"/>
        <v>0</v>
      </c>
      <c r="H151" s="794">
        <f t="shared" si="3"/>
        <v>0</v>
      </c>
      <c r="I151" s="791">
        <f t="shared" si="4"/>
        <v>0</v>
      </c>
      <c r="J151" s="791"/>
      <c r="K151" s="811"/>
      <c r="L151" s="795"/>
      <c r="M151" s="811"/>
      <c r="N151" s="795"/>
      <c r="O151" s="795"/>
    </row>
    <row r="152" spans="3:15">
      <c r="C152" s="787" t="str">
        <f>IF(D95="","-",+C151+1)</f>
        <v>-</v>
      </c>
      <c r="D152" s="735">
        <f t="shared" si="0"/>
        <v>0</v>
      </c>
      <c r="E152" s="788">
        <f t="shared" si="5"/>
        <v>0</v>
      </c>
      <c r="F152" s="735">
        <f t="shared" si="1"/>
        <v>0</v>
      </c>
      <c r="G152" s="793">
        <f t="shared" si="2"/>
        <v>0</v>
      </c>
      <c r="H152" s="794">
        <f t="shared" si="3"/>
        <v>0</v>
      </c>
      <c r="I152" s="791">
        <f t="shared" si="4"/>
        <v>0</v>
      </c>
      <c r="J152" s="791"/>
      <c r="K152" s="811"/>
      <c r="L152" s="795"/>
      <c r="M152" s="811"/>
      <c r="N152" s="795"/>
      <c r="O152" s="795"/>
    </row>
    <row r="153" spans="3:15">
      <c r="C153" s="787" t="str">
        <f>IF(D95="","-",+C152+1)</f>
        <v>-</v>
      </c>
      <c r="D153" s="735">
        <f t="shared" si="0"/>
        <v>0</v>
      </c>
      <c r="E153" s="788">
        <f t="shared" si="5"/>
        <v>0</v>
      </c>
      <c r="F153" s="735">
        <f t="shared" si="1"/>
        <v>0</v>
      </c>
      <c r="G153" s="793">
        <f t="shared" si="2"/>
        <v>0</v>
      </c>
      <c r="H153" s="794">
        <f t="shared" si="3"/>
        <v>0</v>
      </c>
      <c r="I153" s="791">
        <f t="shared" si="4"/>
        <v>0</v>
      </c>
      <c r="J153" s="791"/>
      <c r="K153" s="811"/>
      <c r="L153" s="795"/>
      <c r="M153" s="811"/>
      <c r="N153" s="795"/>
      <c r="O153" s="795"/>
    </row>
    <row r="154" spans="3:15">
      <c r="C154" s="787" t="str">
        <f>IF(D95="","-",+C153+1)</f>
        <v>-</v>
      </c>
      <c r="D154" s="735">
        <f t="shared" si="0"/>
        <v>0</v>
      </c>
      <c r="E154" s="788">
        <f t="shared" si="5"/>
        <v>0</v>
      </c>
      <c r="F154" s="735">
        <f t="shared" si="1"/>
        <v>0</v>
      </c>
      <c r="G154" s="793">
        <f t="shared" si="2"/>
        <v>0</v>
      </c>
      <c r="H154" s="794">
        <f t="shared" si="3"/>
        <v>0</v>
      </c>
      <c r="I154" s="791">
        <f t="shared" si="4"/>
        <v>0</v>
      </c>
      <c r="J154" s="791"/>
      <c r="K154" s="811"/>
      <c r="L154" s="795"/>
      <c r="M154" s="811"/>
      <c r="N154" s="795"/>
      <c r="O154" s="795"/>
    </row>
    <row r="155" spans="3:15">
      <c r="C155" s="787" t="str">
        <f>IF(D95="","-",+C154+1)</f>
        <v>-</v>
      </c>
      <c r="D155" s="735">
        <f t="shared" si="0"/>
        <v>0</v>
      </c>
      <c r="E155" s="788">
        <f t="shared" si="5"/>
        <v>0</v>
      </c>
      <c r="F155" s="735">
        <f t="shared" si="1"/>
        <v>0</v>
      </c>
      <c r="G155" s="793">
        <f t="shared" si="2"/>
        <v>0</v>
      </c>
      <c r="H155" s="794">
        <f t="shared" si="3"/>
        <v>0</v>
      </c>
      <c r="I155" s="791">
        <f t="shared" si="4"/>
        <v>0</v>
      </c>
      <c r="J155" s="791"/>
      <c r="K155" s="811"/>
      <c r="L155" s="795"/>
      <c r="M155" s="811"/>
      <c r="N155" s="795"/>
      <c r="O155" s="795"/>
    </row>
    <row r="156" spans="3:15">
      <c r="C156" s="787" t="str">
        <f>IF(D95="","-",+C155+1)</f>
        <v>-</v>
      </c>
      <c r="D156" s="735">
        <f t="shared" si="0"/>
        <v>0</v>
      </c>
      <c r="E156" s="788">
        <f t="shared" si="5"/>
        <v>0</v>
      </c>
      <c r="F156" s="735">
        <f t="shared" si="1"/>
        <v>0</v>
      </c>
      <c r="G156" s="793">
        <f t="shared" si="2"/>
        <v>0</v>
      </c>
      <c r="H156" s="794">
        <f t="shared" si="3"/>
        <v>0</v>
      </c>
      <c r="I156" s="791">
        <f t="shared" si="4"/>
        <v>0</v>
      </c>
      <c r="J156" s="791"/>
      <c r="K156" s="811"/>
      <c r="L156" s="795"/>
      <c r="M156" s="811"/>
      <c r="N156" s="795"/>
      <c r="O156" s="795"/>
    </row>
    <row r="157" spans="3:15">
      <c r="C157" s="787" t="str">
        <f>IF(D95="","-",+C156+1)</f>
        <v>-</v>
      </c>
      <c r="D157" s="735">
        <f t="shared" si="0"/>
        <v>0</v>
      </c>
      <c r="E157" s="788">
        <f t="shared" si="5"/>
        <v>0</v>
      </c>
      <c r="F157" s="735">
        <f t="shared" si="1"/>
        <v>0</v>
      </c>
      <c r="G157" s="793">
        <f t="shared" si="2"/>
        <v>0</v>
      </c>
      <c r="H157" s="794">
        <f t="shared" si="3"/>
        <v>0</v>
      </c>
      <c r="I157" s="791">
        <f t="shared" si="4"/>
        <v>0</v>
      </c>
      <c r="J157" s="791"/>
      <c r="K157" s="811"/>
      <c r="L157" s="795"/>
      <c r="M157" s="811"/>
      <c r="N157" s="795"/>
      <c r="O157" s="795"/>
    </row>
    <row r="158" spans="3:15">
      <c r="C158" s="787" t="str">
        <f>IF(D95="","-",+C157+1)</f>
        <v>-</v>
      </c>
      <c r="D158" s="735">
        <f t="shared" si="0"/>
        <v>0</v>
      </c>
      <c r="E158" s="788">
        <f t="shared" si="5"/>
        <v>0</v>
      </c>
      <c r="F158" s="735">
        <f t="shared" si="1"/>
        <v>0</v>
      </c>
      <c r="G158" s="793">
        <f t="shared" si="2"/>
        <v>0</v>
      </c>
      <c r="H158" s="794">
        <f t="shared" si="3"/>
        <v>0</v>
      </c>
      <c r="I158" s="791">
        <f t="shared" si="4"/>
        <v>0</v>
      </c>
      <c r="J158" s="791"/>
      <c r="K158" s="811"/>
      <c r="L158" s="795"/>
      <c r="M158" s="811"/>
      <c r="N158" s="795"/>
      <c r="O158" s="795"/>
    </row>
    <row r="159" spans="3:15">
      <c r="C159" s="787" t="str">
        <f>IF(D95="","-",+C158+1)</f>
        <v>-</v>
      </c>
      <c r="D159" s="735">
        <f t="shared" si="0"/>
        <v>0</v>
      </c>
      <c r="E159" s="788">
        <f t="shared" si="5"/>
        <v>0</v>
      </c>
      <c r="F159" s="735">
        <f t="shared" si="1"/>
        <v>0</v>
      </c>
      <c r="G159" s="793">
        <f t="shared" si="2"/>
        <v>0</v>
      </c>
      <c r="H159" s="794">
        <f t="shared" si="3"/>
        <v>0</v>
      </c>
      <c r="I159" s="791">
        <f t="shared" si="4"/>
        <v>0</v>
      </c>
      <c r="J159" s="791"/>
      <c r="K159" s="811"/>
      <c r="L159" s="795"/>
      <c r="M159" s="811"/>
      <c r="N159" s="795"/>
      <c r="O159" s="795"/>
    </row>
    <row r="160" spans="3:15" ht="13.5" thickBot="1">
      <c r="C160" s="797" t="str">
        <f>IF(D95="","-",+C159+1)</f>
        <v>-</v>
      </c>
      <c r="D160" s="798">
        <f t="shared" si="0"/>
        <v>0</v>
      </c>
      <c r="E160" s="799">
        <f t="shared" si="5"/>
        <v>0</v>
      </c>
      <c r="F160" s="798">
        <f t="shared" si="1"/>
        <v>0</v>
      </c>
      <c r="G160" s="800">
        <f t="shared" si="2"/>
        <v>0</v>
      </c>
      <c r="H160" s="800">
        <f t="shared" si="3"/>
        <v>0</v>
      </c>
      <c r="I160" s="801">
        <f t="shared" si="4"/>
        <v>0</v>
      </c>
      <c r="J160" s="791"/>
      <c r="K160" s="812"/>
      <c r="L160" s="802"/>
      <c r="M160" s="812"/>
      <c r="N160" s="802"/>
      <c r="O160" s="802"/>
    </row>
    <row r="161" spans="3:15">
      <c r="C161" s="735" t="s">
        <v>83</v>
      </c>
      <c r="D161" s="729"/>
      <c r="E161" s="729">
        <f>SUM(E101:E160)</f>
        <v>0</v>
      </c>
      <c r="F161" s="729"/>
      <c r="G161" s="729">
        <f>SUM(G101:G160)</f>
        <v>0</v>
      </c>
      <c r="H161" s="729">
        <f>SUM(H101:H160)</f>
        <v>0</v>
      </c>
      <c r="I161" s="729">
        <f>SUM(I101:I160)</f>
        <v>0</v>
      </c>
      <c r="J161" s="729"/>
      <c r="K161" s="729"/>
      <c r="L161" s="729"/>
      <c r="M161" s="729"/>
      <c r="N161" s="729"/>
      <c r="O161" s="314"/>
    </row>
    <row r="162" spans="3:15">
      <c r="D162" s="537"/>
      <c r="E162" s="314"/>
      <c r="F162" s="314"/>
      <c r="G162" s="314"/>
      <c r="H162" s="707"/>
      <c r="I162" s="707"/>
      <c r="J162" s="729"/>
      <c r="K162" s="707"/>
      <c r="L162" s="707"/>
      <c r="M162" s="707"/>
      <c r="N162" s="707"/>
      <c r="O162" s="314"/>
    </row>
    <row r="163" spans="3:15">
      <c r="C163" s="314" t="s">
        <v>13</v>
      </c>
      <c r="D163" s="537"/>
      <c r="E163" s="314"/>
      <c r="F163" s="314"/>
      <c r="G163" s="314"/>
      <c r="H163" s="707"/>
      <c r="I163" s="707"/>
      <c r="J163" s="729"/>
      <c r="K163" s="707"/>
      <c r="L163" s="707"/>
      <c r="M163" s="707"/>
      <c r="N163" s="707"/>
      <c r="O163" s="314"/>
    </row>
    <row r="164" spans="3:15">
      <c r="C164" s="314"/>
      <c r="D164" s="537"/>
      <c r="E164" s="314"/>
      <c r="F164" s="314"/>
      <c r="G164" s="314"/>
      <c r="H164" s="707"/>
      <c r="I164" s="707"/>
      <c r="J164" s="729"/>
      <c r="K164" s="707"/>
      <c r="L164" s="707"/>
      <c r="M164" s="707"/>
      <c r="N164" s="707"/>
      <c r="O164" s="314"/>
    </row>
    <row r="165" spans="3:15">
      <c r="C165" s="748" t="s">
        <v>14</v>
      </c>
      <c r="D165" s="735"/>
      <c r="E165" s="735"/>
      <c r="F165" s="735"/>
      <c r="G165" s="729"/>
      <c r="H165" s="729"/>
      <c r="I165" s="803"/>
      <c r="J165" s="803"/>
      <c r="K165" s="803"/>
      <c r="L165" s="803"/>
      <c r="M165" s="803"/>
      <c r="N165" s="803"/>
      <c r="O165" s="314"/>
    </row>
    <row r="166" spans="3:15">
      <c r="C166" s="734" t="s">
        <v>263</v>
      </c>
      <c r="D166" s="735"/>
      <c r="E166" s="735"/>
      <c r="F166" s="735"/>
      <c r="G166" s="729"/>
      <c r="H166" s="729"/>
      <c r="I166" s="803"/>
      <c r="J166" s="803"/>
      <c r="K166" s="803"/>
      <c r="L166" s="803"/>
      <c r="M166" s="803"/>
      <c r="N166" s="803"/>
      <c r="O166" s="314"/>
    </row>
    <row r="167" spans="3:15">
      <c r="C167" s="734" t="s">
        <v>84</v>
      </c>
      <c r="D167" s="735"/>
      <c r="E167" s="735"/>
      <c r="F167" s="735"/>
      <c r="G167" s="729"/>
      <c r="H167" s="729"/>
      <c r="I167" s="803"/>
      <c r="J167" s="803"/>
      <c r="K167" s="803"/>
      <c r="L167" s="803"/>
      <c r="M167" s="803"/>
      <c r="N167" s="803"/>
      <c r="O167" s="314"/>
    </row>
    <row r="168" spans="3:15">
      <c r="C168" s="734"/>
      <c r="D168" s="735"/>
      <c r="E168" s="735"/>
      <c r="F168" s="735"/>
      <c r="G168" s="729"/>
      <c r="H168" s="729"/>
      <c r="I168" s="803"/>
      <c r="J168" s="803"/>
      <c r="K168" s="803"/>
      <c r="L168" s="803"/>
      <c r="M168" s="803"/>
      <c r="N168" s="803"/>
      <c r="O168" s="314"/>
    </row>
    <row r="169" spans="3:15">
      <c r="C169" s="1517" t="s">
        <v>6</v>
      </c>
      <c r="D169" s="1517"/>
      <c r="E169" s="1517"/>
      <c r="F169" s="1517"/>
      <c r="G169" s="1517"/>
      <c r="H169" s="1517"/>
      <c r="I169" s="1517"/>
      <c r="J169" s="1517"/>
      <c r="K169" s="1517"/>
      <c r="L169" s="1517"/>
      <c r="M169" s="1517"/>
      <c r="N169" s="1517"/>
      <c r="O169" s="1517"/>
    </row>
    <row r="170" spans="3:15">
      <c r="C170" s="1517"/>
      <c r="D170" s="1517"/>
      <c r="E170" s="1517"/>
      <c r="F170" s="1517"/>
      <c r="G170" s="1517"/>
      <c r="H170" s="1517"/>
      <c r="I170" s="1517"/>
      <c r="J170" s="1517"/>
      <c r="K170" s="1517"/>
      <c r="L170" s="1517"/>
      <c r="M170" s="1517"/>
      <c r="N170" s="1517"/>
      <c r="O170" s="1517"/>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66"/>
  <sheetViews>
    <sheetView view="pageBreakPreview" zoomScale="70" zoomScaleNormal="70" zoomScaleSheetLayoutView="70" workbookViewId="0">
      <selection activeCell="A4" sqref="D4"/>
    </sheetView>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6"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4" t="s">
        <v>408</v>
      </c>
    </row>
    <row r="2" spans="1:17" ht="15.75">
      <c r="A2" s="1004" t="s">
        <v>408</v>
      </c>
    </row>
    <row r="3" spans="1:17" ht="15">
      <c r="A3" s="1464" t="str">
        <f>TCOS!$F$5</f>
        <v>AEPTCo subsidiaries in PJM</v>
      </c>
      <c r="B3" s="1464" t="str">
        <f>TCOS!$F$5</f>
        <v>AEPTCo subsidiaries in PJM</v>
      </c>
      <c r="C3" s="1464" t="str">
        <f>TCOS!$F$5</f>
        <v>AEPTCo subsidiaries in PJM</v>
      </c>
      <c r="D3" s="1464" t="str">
        <f>TCOS!$F$5</f>
        <v>AEPTCo subsidiaries in PJM</v>
      </c>
      <c r="E3" s="1464" t="str">
        <f>TCOS!$F$5</f>
        <v>AEPTCo subsidiaries in PJM</v>
      </c>
      <c r="F3" s="1464" t="str">
        <f>TCOS!$F$5</f>
        <v>AEPTCo subsidiaries in PJM</v>
      </c>
      <c r="G3" s="1464" t="str">
        <f>TCOS!$F$5</f>
        <v>AEPTCo subsidiaries in PJM</v>
      </c>
      <c r="H3" s="1464" t="str">
        <f>TCOS!$F$5</f>
        <v>AEPTCo subsidiaries in PJM</v>
      </c>
      <c r="I3" s="1464" t="str">
        <f>TCOS!$F$5</f>
        <v>AEPTCo subsidiaries in PJM</v>
      </c>
      <c r="J3" s="1464" t="str">
        <f>TCOS!$F$5</f>
        <v>AEPTCo subsidiaries in PJM</v>
      </c>
      <c r="K3" s="1464" t="str">
        <f>TCOS!$F$5</f>
        <v>AEPTCo subsidiaries in PJM</v>
      </c>
      <c r="L3" s="1464" t="str">
        <f>TCOS!$F$5</f>
        <v>AEPTCo subsidiaries in PJM</v>
      </c>
      <c r="M3" s="1464" t="str">
        <f>TCOS!$F$5</f>
        <v>AEPTCo subsidiaries in PJM</v>
      </c>
      <c r="N3" s="1464" t="str">
        <f>TCOS!$F$5</f>
        <v>AEPTCo subsidiaries in PJM</v>
      </c>
      <c r="O3" s="1464" t="str">
        <f>TCOS!$F$5</f>
        <v>AEPTCo subsidiaries in PJM</v>
      </c>
      <c r="P3" s="1464" t="str">
        <f>TCOS!$F$5</f>
        <v>AEPTCo subsidiaries in PJM</v>
      </c>
      <c r="Q3" s="156"/>
    </row>
    <row r="4" spans="1:17" ht="15">
      <c r="A4" s="1494" t="str">
        <f>"Cost of Service Formula Rate Using Actual/Projected FF1 Balances"</f>
        <v>Cost of Service Formula Rate Using Actual/Projected FF1 Balances</v>
      </c>
      <c r="B4" s="1494"/>
      <c r="C4" s="1494"/>
      <c r="D4" s="1494"/>
      <c r="E4" s="1494"/>
      <c r="F4" s="1494"/>
      <c r="G4" s="1494"/>
      <c r="H4" s="1494"/>
      <c r="I4" s="1494"/>
      <c r="J4" s="1494"/>
      <c r="K4" s="1494"/>
      <c r="L4" s="1494"/>
      <c r="M4" s="1494"/>
      <c r="N4" s="1494"/>
      <c r="O4" s="1494"/>
      <c r="P4" s="1494"/>
      <c r="Q4" s="156"/>
    </row>
    <row r="5" spans="1:17" ht="15">
      <c r="A5" s="1494" t="s">
        <v>257</v>
      </c>
      <c r="B5" s="1494"/>
      <c r="C5" s="1494"/>
      <c r="D5" s="1494"/>
      <c r="E5" s="1494"/>
      <c r="F5" s="1494"/>
      <c r="G5" s="1494"/>
      <c r="H5" s="1494"/>
      <c r="I5" s="1494"/>
      <c r="J5" s="1494"/>
      <c r="K5" s="1494"/>
      <c r="L5" s="1494"/>
      <c r="M5" s="1494"/>
      <c r="N5" s="1494"/>
      <c r="O5" s="1494"/>
      <c r="P5" s="1494"/>
      <c r="Q5" s="156"/>
    </row>
    <row r="6" spans="1:17" ht="15">
      <c r="A6" s="1495" t="str">
        <f>TCOS!F9</f>
        <v>AEP Appalachian Transmission Company</v>
      </c>
      <c r="B6" s="1495"/>
      <c r="C6" s="1495"/>
      <c r="D6" s="1495"/>
      <c r="E6" s="1495"/>
      <c r="F6" s="1495"/>
      <c r="G6" s="1495"/>
      <c r="H6" s="1495"/>
      <c r="I6" s="1495"/>
      <c r="J6" s="1495"/>
      <c r="K6" s="1495"/>
      <c r="L6" s="1495"/>
      <c r="M6" s="1495"/>
      <c r="N6" s="1495"/>
      <c r="O6" s="1495"/>
      <c r="P6" s="1495"/>
      <c r="Q6" s="156"/>
    </row>
    <row r="7" spans="1:17">
      <c r="Q7" s="156"/>
    </row>
    <row r="8" spans="1:17" ht="20.25">
      <c r="A8" s="651"/>
      <c r="C8" s="392"/>
      <c r="O8" s="652" t="str">
        <f>"Page "&amp;Q8&amp;" of "</f>
        <v xml:space="preserve">Page 1 of </v>
      </c>
      <c r="P8" s="653">
        <f>COUNT(Q$8:Q$57702)</f>
        <v>2</v>
      </c>
      <c r="Q8" s="654">
        <v>1</v>
      </c>
    </row>
    <row r="9" spans="1:17" ht="18">
      <c r="C9" s="655"/>
      <c r="Q9" s="156"/>
    </row>
    <row r="10" spans="1:17">
      <c r="Q10" s="156"/>
    </row>
    <row r="11" spans="1:17" ht="18">
      <c r="B11" s="656" t="s">
        <v>463</v>
      </c>
      <c r="C11" s="1519" t="str">
        <f>"Calculate Return and Income Taxes with "&amp;F17&amp;" basis point ROE increase for Projects Qualified for Regional Billing."</f>
        <v>Calculate Return and Income Taxes with 0 basis point ROE increase for Projects Qualified for Regional Billing.</v>
      </c>
      <c r="D11" s="1520"/>
      <c r="E11" s="1520"/>
      <c r="F11" s="1520"/>
      <c r="G11" s="1520"/>
      <c r="H11" s="1520"/>
      <c r="I11" s="1520"/>
      <c r="Q11" s="156"/>
    </row>
    <row r="12" spans="1:17" ht="18.75" customHeight="1">
      <c r="C12" s="1520"/>
      <c r="D12" s="1520"/>
      <c r="E12" s="1520"/>
      <c r="F12" s="1520"/>
      <c r="G12" s="1520"/>
      <c r="H12" s="1520"/>
      <c r="I12" s="1520"/>
      <c r="Q12" s="156"/>
    </row>
    <row r="13" spans="1:17" ht="15.75" customHeight="1">
      <c r="C13" s="657"/>
      <c r="D13" s="657"/>
      <c r="E13" s="657"/>
      <c r="F13" s="657"/>
      <c r="G13" s="657"/>
      <c r="H13" s="657"/>
      <c r="I13" s="657"/>
      <c r="Q13" s="156"/>
    </row>
    <row r="14" spans="1:17" ht="15.75">
      <c r="C14" s="658"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59" t="str">
        <f>"   ROE w/o incentives  (TCOS, ln "&amp;TCOS!B235&amp;")"</f>
        <v xml:space="preserve">   ROE w/o incentives  (TCOS, ln 138)</v>
      </c>
      <c r="D16" s="220"/>
      <c r="E16" s="660"/>
      <c r="F16" s="813">
        <f>TCOS!J235</f>
        <v>0.10349999999999999</v>
      </c>
      <c r="G16" s="813"/>
      <c r="H16" s="660"/>
      <c r="I16" s="662"/>
      <c r="J16" s="662"/>
      <c r="K16" s="663"/>
      <c r="L16" s="662"/>
      <c r="M16" s="662"/>
      <c r="N16" s="662"/>
      <c r="O16" s="662"/>
      <c r="P16" s="662"/>
      <c r="Q16" s="663"/>
    </row>
    <row r="17" spans="3:17" ht="13.5" thickBot="1">
      <c r="C17" s="659" t="s">
        <v>43</v>
      </c>
      <c r="D17" s="220"/>
      <c r="E17" s="660"/>
      <c r="F17" s="804">
        <v>0</v>
      </c>
      <c r="G17" s="660"/>
      <c r="H17" s="660"/>
      <c r="I17" s="662"/>
      <c r="J17" s="662"/>
      <c r="K17" s="663"/>
      <c r="L17" s="662"/>
      <c r="M17" s="662"/>
      <c r="N17" s="662"/>
      <c r="O17" s="662"/>
      <c r="P17" s="662"/>
    </row>
    <row r="18" spans="3:17">
      <c r="C18" s="659" t="str">
        <f>"   ROE with additional "&amp;F17&amp;" basis point incentive"</f>
        <v xml:space="preserve">   ROE with additional 0 basis point incentive</v>
      </c>
      <c r="D18" s="660"/>
      <c r="E18" s="660"/>
      <c r="F18" s="665">
        <f>IF((F16+(F17/10000)&gt;0.125),"ERROR",F16+(F17/10000))</f>
        <v>0.10349999999999999</v>
      </c>
      <c r="G18" s="666"/>
      <c r="H18" s="660"/>
      <c r="I18" s="662"/>
      <c r="J18" s="662"/>
      <c r="K18" s="663"/>
      <c r="L18" s="814" t="s">
        <v>234</v>
      </c>
      <c r="M18" s="815"/>
      <c r="N18" s="815"/>
      <c r="O18" s="815"/>
      <c r="P18" s="816"/>
    </row>
    <row r="19" spans="3:17">
      <c r="C19" s="659"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0"/>
      <c r="F19" s="667"/>
      <c r="G19" s="667"/>
      <c r="H19" s="660"/>
      <c r="I19" s="662"/>
      <c r="J19" s="662"/>
      <c r="K19" s="663"/>
      <c r="L19" s="817"/>
      <c r="M19" s="663"/>
      <c r="N19" s="663" t="s">
        <v>45</v>
      </c>
      <c r="O19" s="663" t="s">
        <v>46</v>
      </c>
      <c r="P19" s="818" t="s">
        <v>47</v>
      </c>
    </row>
    <row r="20" spans="3:17">
      <c r="C20" s="663"/>
      <c r="D20" s="668" t="s">
        <v>438</v>
      </c>
      <c r="E20" s="668" t="s">
        <v>437</v>
      </c>
      <c r="F20" s="669" t="s">
        <v>44</v>
      </c>
      <c r="G20" s="669"/>
      <c r="H20" s="660"/>
      <c r="I20" s="662"/>
      <c r="J20" s="662"/>
      <c r="K20" s="663"/>
      <c r="L20" s="817" t="s">
        <v>232</v>
      </c>
      <c r="M20" s="819">
        <f>TCOS!L4</f>
        <v>2024</v>
      </c>
      <c r="N20" s="425"/>
      <c r="O20" s="425"/>
      <c r="P20" s="820"/>
    </row>
    <row r="21" spans="3:17">
      <c r="C21" s="670" t="s">
        <v>48</v>
      </c>
      <c r="D21" s="821">
        <f>TCOS!I233</f>
        <v>0.5444461334484344</v>
      </c>
      <c r="E21" s="672">
        <f>TCOS!J233</f>
        <v>3.7804486798679864E-2</v>
      </c>
      <c r="F21" s="673">
        <f>E21*D21</f>
        <v>2.0582506664543632E-2</v>
      </c>
      <c r="G21" s="673"/>
      <c r="H21" s="660"/>
      <c r="I21" s="662"/>
      <c r="J21" s="674"/>
      <c r="K21" s="675"/>
      <c r="L21" s="822"/>
      <c r="M21" s="764" t="s">
        <v>233</v>
      </c>
      <c r="N21" s="955" t="e">
        <f>+M88+#REF!+#REF!+#REF!+#REF!+#REF!+#REF!+#REF!</f>
        <v>#N/A</v>
      </c>
      <c r="O21" s="955" t="e">
        <f>+N88+#REF!+#REF!+#REF!+#REF!+#REF!+#REF!+#REF!</f>
        <v>#N/A</v>
      </c>
      <c r="P21" s="823" t="e">
        <f>+O21-N21</f>
        <v>#N/A</v>
      </c>
    </row>
    <row r="22" spans="3:17" ht="13.5" thickBot="1">
      <c r="C22" s="670" t="s">
        <v>49</v>
      </c>
      <c r="D22" s="821">
        <f>TCOS!I234</f>
        <v>0</v>
      </c>
      <c r="E22" s="672">
        <f>TCOS!J234</f>
        <v>0</v>
      </c>
      <c r="F22" s="673">
        <f>E22*D22</f>
        <v>0</v>
      </c>
      <c r="G22" s="673"/>
      <c r="H22" s="676"/>
      <c r="I22" s="676"/>
      <c r="J22" s="677"/>
      <c r="K22" s="678"/>
      <c r="L22" s="822"/>
      <c r="M22" s="764" t="s">
        <v>619</v>
      </c>
      <c r="N22" s="956" t="e">
        <f>M89+#REF!+#REF!+#REF!+#REF!+#REF!+#REF!+#REF!+#REF!</f>
        <v>#N/A</v>
      </c>
      <c r="O22" s="956" t="e">
        <f>N89+#REF!+#REF!+#REF!+#REF!+#REF!+#REF!+#REF!+#REF!</f>
        <v>#N/A</v>
      </c>
      <c r="P22" s="824" t="e">
        <f>+O22-N22</f>
        <v>#N/A</v>
      </c>
      <c r="Q22" s="678"/>
    </row>
    <row r="23" spans="3:17">
      <c r="C23" s="679" t="s">
        <v>29</v>
      </c>
      <c r="D23" s="821">
        <f>TCOS!I235</f>
        <v>0.45555386655156566</v>
      </c>
      <c r="E23" s="672">
        <f>+F18</f>
        <v>0.10349999999999999</v>
      </c>
      <c r="F23" s="680">
        <f>E23*D23</f>
        <v>4.7149825188087045E-2</v>
      </c>
      <c r="G23" s="680"/>
      <c r="H23" s="676"/>
      <c r="I23" s="676"/>
      <c r="J23" s="677"/>
      <c r="K23" s="678"/>
      <c r="L23" s="822"/>
      <c r="M23" s="764" t="str">
        <f>"True-up of ARR For "&amp;TCOS!L4&amp;""</f>
        <v>True-up of ARR For 2024</v>
      </c>
      <c r="N23" s="735" t="e">
        <f>+N22-N21</f>
        <v>#N/A</v>
      </c>
      <c r="O23" s="735" t="e">
        <f>+O22-O21</f>
        <v>#N/A</v>
      </c>
      <c r="P23" s="825" t="e">
        <f>+P22-P21</f>
        <v>#N/A</v>
      </c>
      <c r="Q23" s="678"/>
    </row>
    <row r="24" spans="3:17">
      <c r="C24" s="659"/>
      <c r="D24" s="173"/>
      <c r="E24" s="681" t="s">
        <v>50</v>
      </c>
      <c r="F24" s="673">
        <f>SUM(F21:F23)</f>
        <v>6.7732331852630681E-2</v>
      </c>
      <c r="G24" s="673"/>
      <c r="H24" s="676"/>
      <c r="I24" s="676"/>
      <c r="J24" s="677"/>
      <c r="K24" s="678"/>
      <c r="L24" s="822"/>
      <c r="M24" s="425"/>
      <c r="N24" s="425"/>
      <c r="O24" s="425"/>
      <c r="P24" s="820"/>
      <c r="Q24" s="678"/>
    </row>
    <row r="25" spans="3:17" ht="13.5" thickBot="1">
      <c r="C25" s="209"/>
      <c r="D25" s="686"/>
      <c r="E25" s="686"/>
      <c r="F25" s="676"/>
      <c r="G25" s="676"/>
      <c r="H25" s="676"/>
      <c r="I25" s="676"/>
      <c r="J25" s="676"/>
      <c r="K25" s="687"/>
      <c r="L25" s="826"/>
      <c r="M25" s="827"/>
      <c r="N25" s="828"/>
      <c r="O25" s="828"/>
      <c r="P25" s="824"/>
      <c r="Q25" s="687"/>
    </row>
    <row r="26" spans="3:17" ht="15.75">
      <c r="C26" s="658" t="str">
        <f>"B.   Determine Return using 'R' with hypothetical "&amp;F17&amp;" basis point ROE increase for Identified Projects."</f>
        <v>B.   Determine Return using 'R' with hypothetical 0 basis point ROE increase for Identified Projects.</v>
      </c>
      <c r="D26" s="686"/>
      <c r="E26" s="686"/>
      <c r="F26" s="691"/>
      <c r="G26" s="691"/>
      <c r="H26" s="676"/>
      <c r="I26" s="660"/>
      <c r="J26" s="676"/>
      <c r="K26" s="687"/>
      <c r="L26" s="676"/>
      <c r="M26" s="676"/>
      <c r="N26" s="676"/>
      <c r="O26" s="676"/>
      <c r="P26" s="676"/>
      <c r="Q26" s="687"/>
    </row>
    <row r="27" spans="3:17">
      <c r="C27" s="663"/>
      <c r="D27" s="686"/>
      <c r="E27" s="686"/>
      <c r="F27" s="687"/>
      <c r="G27" s="687"/>
      <c r="H27" s="687"/>
      <c r="I27" s="687"/>
      <c r="J27" s="687"/>
      <c r="K27" s="687"/>
      <c r="L27" s="687"/>
      <c r="M27" s="687"/>
      <c r="N27" s="687"/>
      <c r="O27" s="687"/>
      <c r="P27" s="687"/>
      <c r="Q27" s="687"/>
    </row>
    <row r="28" spans="3:17">
      <c r="C28" s="659" t="str">
        <f>"   Rate Base  (True-Up TCOS, ln "&amp;TCOS!B112&amp;")"</f>
        <v xml:space="preserve">   Rate Base  (True-Up TCOS, ln 58)</v>
      </c>
      <c r="D28" s="660"/>
      <c r="E28" s="697">
        <f>TCOS!L112</f>
        <v>112669549.26893997</v>
      </c>
      <c r="F28" s="829"/>
      <c r="G28" s="829"/>
      <c r="H28" s="687"/>
      <c r="I28" s="687"/>
      <c r="J28" s="687"/>
      <c r="K28" s="687"/>
      <c r="L28" s="687"/>
      <c r="M28" s="687"/>
      <c r="N28" s="687"/>
      <c r="O28" s="687"/>
      <c r="P28" s="829"/>
      <c r="Q28" s="687"/>
    </row>
    <row r="29" spans="3:17">
      <c r="C29" s="663" t="s">
        <v>52</v>
      </c>
      <c r="D29" s="699"/>
      <c r="E29" s="673">
        <f>F24</f>
        <v>6.7732331852630681E-2</v>
      </c>
      <c r="F29" s="687"/>
      <c r="G29" s="687"/>
      <c r="H29" s="687"/>
      <c r="I29" s="687"/>
      <c r="J29" s="687"/>
      <c r="K29" s="687"/>
      <c r="L29" s="687"/>
      <c r="M29" s="687"/>
      <c r="N29" s="687"/>
      <c r="O29" s="687"/>
      <c r="P29" s="687"/>
      <c r="Q29" s="687"/>
    </row>
    <row r="30" spans="3:17">
      <c r="C30" s="700" t="s">
        <v>53</v>
      </c>
      <c r="D30" s="700"/>
      <c r="E30" s="677">
        <f>E28*E29</f>
        <v>7631371.3007701645</v>
      </c>
      <c r="F30" s="687"/>
      <c r="G30" s="687"/>
      <c r="H30" s="687"/>
      <c r="I30" s="687"/>
      <c r="J30" s="678"/>
      <c r="K30" s="678"/>
      <c r="L30" s="678"/>
      <c r="M30" s="678"/>
      <c r="N30" s="678"/>
      <c r="O30" s="678"/>
      <c r="P30" s="687"/>
      <c r="Q30" s="678"/>
    </row>
    <row r="31" spans="3:17">
      <c r="C31" s="701"/>
      <c r="D31" s="662"/>
      <c r="E31" s="662"/>
      <c r="F31" s="687"/>
      <c r="G31" s="687"/>
      <c r="H31" s="687"/>
      <c r="I31" s="687"/>
      <c r="J31" s="678"/>
      <c r="K31" s="678"/>
      <c r="L31" s="678"/>
      <c r="M31" s="678"/>
      <c r="N31" s="678"/>
      <c r="O31" s="678"/>
      <c r="P31" s="687"/>
      <c r="Q31" s="678"/>
    </row>
    <row r="32" spans="3:17"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3"/>
      <c r="J32" s="704"/>
      <c r="K32" s="704"/>
      <c r="L32" s="704"/>
      <c r="M32" s="704"/>
      <c r="N32" s="704"/>
      <c r="O32" s="704"/>
      <c r="P32" s="703"/>
      <c r="Q32" s="704"/>
    </row>
    <row r="33" spans="2:17">
      <c r="C33" s="659"/>
      <c r="D33" s="662"/>
      <c r="E33" s="662"/>
      <c r="F33" s="687"/>
      <c r="G33" s="687"/>
      <c r="H33" s="687"/>
      <c r="I33" s="687"/>
      <c r="J33" s="678"/>
      <c r="K33" s="678"/>
      <c r="L33" s="678"/>
      <c r="M33" s="678"/>
      <c r="N33" s="678"/>
      <c r="O33" s="678"/>
      <c r="P33" s="687"/>
      <c r="Q33" s="678"/>
    </row>
    <row r="34" spans="2:17">
      <c r="C34" s="663" t="s">
        <v>54</v>
      </c>
      <c r="D34" s="681"/>
      <c r="E34" s="705">
        <f>E30</f>
        <v>7631371.3007701645</v>
      </c>
      <c r="F34" s="687"/>
      <c r="G34" s="687"/>
      <c r="H34" s="687"/>
      <c r="I34" s="687"/>
      <c r="J34" s="687"/>
      <c r="K34" s="687"/>
      <c r="L34" s="687"/>
      <c r="M34" s="687"/>
      <c r="N34" s="687"/>
      <c r="O34" s="687"/>
      <c r="P34" s="687"/>
      <c r="Q34" s="687"/>
    </row>
    <row r="35" spans="2:17">
      <c r="C35" s="659" t="str">
        <f>"   Effective Tax Rate  (TCOS, ln "&amp;TCOS!B170&amp;")"</f>
        <v xml:space="preserve">   Effective Tax Rate  (TCOS, ln 97)</v>
      </c>
      <c r="D35" s="537"/>
      <c r="E35" s="706">
        <f>TCOS!G170</f>
        <v>0.24640175289480282</v>
      </c>
      <c r="F35" s="314"/>
      <c r="G35" s="314"/>
      <c r="H35" s="314"/>
      <c r="I35" s="707"/>
      <c r="J35" s="314"/>
      <c r="K35" s="425"/>
      <c r="Q35" s="425"/>
    </row>
    <row r="36" spans="2:17">
      <c r="C36" s="701" t="s">
        <v>55</v>
      </c>
      <c r="D36" s="537"/>
      <c r="E36" s="708">
        <f>E34*E35</f>
        <v>1880383.2655008601</v>
      </c>
      <c r="F36" s="314"/>
      <c r="G36" s="314"/>
      <c r="H36" s="314"/>
      <c r="I36" s="707"/>
      <c r="J36" s="314"/>
      <c r="K36" s="425"/>
      <c r="Q36" s="425"/>
    </row>
    <row r="37" spans="2:17" ht="15">
      <c r="C37" s="659" t="s">
        <v>97</v>
      </c>
      <c r="D37" s="326"/>
      <c r="E37" s="709">
        <f>TCOS!L178</f>
        <v>0</v>
      </c>
      <c r="F37" s="326"/>
      <c r="G37" s="326"/>
      <c r="H37" s="326"/>
      <c r="I37" s="326"/>
      <c r="J37" s="326"/>
      <c r="K37" s="326"/>
      <c r="L37" s="326"/>
      <c r="M37" s="326"/>
      <c r="N37" s="326"/>
      <c r="O37" s="326"/>
      <c r="P37" s="231"/>
      <c r="Q37" s="326"/>
    </row>
    <row r="38" spans="2:17" ht="15">
      <c r="C38" s="659" t="s">
        <v>552</v>
      </c>
      <c r="D38" s="326"/>
      <c r="E38" s="709">
        <f>TCOS!L179</f>
        <v>1381.0438115975157</v>
      </c>
      <c r="F38" s="326"/>
      <c r="G38" s="326"/>
      <c r="H38" s="326"/>
      <c r="I38" s="326"/>
      <c r="J38" s="326"/>
      <c r="K38" s="326"/>
      <c r="L38" s="326"/>
      <c r="M38" s="326"/>
      <c r="N38" s="326"/>
      <c r="O38" s="326"/>
      <c r="P38" s="231"/>
      <c r="Q38" s="326"/>
    </row>
    <row r="39" spans="2:17" ht="15">
      <c r="C39" s="659" t="s">
        <v>554</v>
      </c>
      <c r="D39" s="326"/>
      <c r="E39" s="830">
        <f>TCOS!L180</f>
        <v>34718.610059355233</v>
      </c>
      <c r="F39" s="326"/>
      <c r="G39" s="326"/>
      <c r="H39" s="326"/>
      <c r="I39" s="326"/>
      <c r="J39" s="326"/>
      <c r="K39" s="326"/>
      <c r="L39" s="326"/>
      <c r="M39" s="326"/>
      <c r="N39" s="326"/>
      <c r="O39" s="326"/>
      <c r="P39" s="231"/>
      <c r="Q39" s="326"/>
    </row>
    <row r="40" spans="2:17" ht="15">
      <c r="C40" s="701" t="s">
        <v>56</v>
      </c>
      <c r="D40" s="326"/>
      <c r="E40" s="709">
        <f>E36+E37+E38+E39</f>
        <v>1916482.9193718128</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6" t="s">
        <v>464</v>
      </c>
      <c r="C42" s="655"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5"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5"/>
      <c r="D44" s="326"/>
      <c r="E44" s="326"/>
      <c r="F44" s="326"/>
      <c r="G44" s="326"/>
      <c r="H44" s="326"/>
      <c r="I44" s="326"/>
      <c r="J44" s="326"/>
      <c r="K44" s="326"/>
      <c r="L44" s="326"/>
      <c r="M44" s="326"/>
      <c r="N44" s="326"/>
      <c r="O44" s="326"/>
      <c r="P44" s="189"/>
      <c r="Q44" s="326"/>
    </row>
    <row r="45" spans="2:17" ht="15.75">
      <c r="C45" s="658" t="s">
        <v>253</v>
      </c>
      <c r="D45" s="326"/>
      <c r="E45" s="326"/>
      <c r="F45" s="325"/>
      <c r="G45" s="325"/>
      <c r="H45" s="326"/>
      <c r="I45" s="326"/>
      <c r="J45" s="326"/>
      <c r="K45" s="326"/>
      <c r="L45" s="326"/>
      <c r="M45" s="326"/>
      <c r="N45" s="326"/>
      <c r="O45" s="326"/>
      <c r="P45" s="189"/>
      <c r="Q45" s="326"/>
    </row>
    <row r="46" spans="2:17">
      <c r="B46" s="348"/>
      <c r="C46" s="711"/>
      <c r="D46" s="712"/>
      <c r="E46" s="712"/>
      <c r="F46" s="712"/>
      <c r="G46" s="712"/>
      <c r="H46" s="712"/>
      <c r="I46" s="712"/>
      <c r="J46" s="712"/>
      <c r="K46" s="712"/>
      <c r="L46" s="712"/>
      <c r="M46" s="712"/>
      <c r="N46" s="712"/>
      <c r="O46" s="712"/>
      <c r="P46" s="709"/>
      <c r="Q46" s="712"/>
    </row>
    <row r="47" spans="2:17" ht="12.75" customHeight="1">
      <c r="B47" s="348"/>
      <c r="C47" s="659" t="str">
        <f>"   Annual Revenue Requirement  (TCOS, ln "&amp;TCOS!B13&amp;")"</f>
        <v xml:space="preserve">   Annual Revenue Requirement  (TCOS, ln 1)</v>
      </c>
      <c r="D47" s="712"/>
      <c r="E47" s="712"/>
      <c r="F47" s="709">
        <f>TCOS!L13</f>
        <v>16078629.132328153</v>
      </c>
      <c r="G47" s="709"/>
      <c r="H47" s="831" t="s">
        <v>408</v>
      </c>
      <c r="I47" s="712"/>
      <c r="J47" s="712"/>
      <c r="K47" s="712"/>
      <c r="L47" s="712"/>
      <c r="M47" s="712"/>
      <c r="N47" s="712"/>
      <c r="O47" s="712"/>
      <c r="P47" s="709"/>
      <c r="Q47" s="712"/>
    </row>
    <row r="48" spans="2:17" ht="12.75" customHeight="1">
      <c r="B48" s="348"/>
      <c r="C48" s="713" t="str">
        <f>"   Lease Payments (TCOS, Lns "&amp;TCOS!B150&amp;")"</f>
        <v xml:space="preserve">   Lease Payments (TCOS, Lns 80)</v>
      </c>
      <c r="D48" s="712"/>
      <c r="E48" s="712"/>
      <c r="F48" s="709">
        <f>TCOS!L150</f>
        <v>0</v>
      </c>
      <c r="G48" s="709"/>
      <c r="H48" s="831"/>
      <c r="I48" s="712"/>
      <c r="J48" s="712"/>
      <c r="K48" s="712"/>
      <c r="L48" s="712"/>
      <c r="M48" s="712"/>
      <c r="N48" s="712"/>
      <c r="O48" s="712"/>
      <c r="P48" s="709"/>
      <c r="Q48" s="712"/>
    </row>
    <row r="49" spans="2:17">
      <c r="B49" s="348"/>
      <c r="C49" s="659" t="str">
        <f>"   Return  (TCOS, ln "&amp;TCOS!B183&amp;")"</f>
        <v xml:space="preserve">   Return  (TCOS, ln 109)</v>
      </c>
      <c r="D49" s="712"/>
      <c r="E49" s="712"/>
      <c r="F49" s="714">
        <f>TCOS!L183</f>
        <v>7631371.3007701645</v>
      </c>
      <c r="G49" s="714"/>
      <c r="H49" s="715"/>
      <c r="I49" s="715"/>
      <c r="J49" s="715"/>
      <c r="K49" s="715"/>
      <c r="L49" s="715"/>
      <c r="M49" s="715"/>
      <c r="N49" s="715"/>
      <c r="O49" s="715"/>
      <c r="P49" s="709"/>
      <c r="Q49" s="715"/>
    </row>
    <row r="50" spans="2:17">
      <c r="B50" s="348"/>
      <c r="C50" s="659" t="str">
        <f>"   Income Taxes  (TCOS, ln "&amp;TCOS!B181&amp;")"</f>
        <v xml:space="preserve">   Income Taxes  (TCOS, ln 108)</v>
      </c>
      <c r="D50" s="712"/>
      <c r="E50" s="712"/>
      <c r="F50" s="716">
        <f>TCOS!L181</f>
        <v>1916482.9193718128</v>
      </c>
      <c r="G50" s="716"/>
      <c r="H50" s="712"/>
      <c r="I50" s="712"/>
      <c r="J50" s="717"/>
      <c r="K50" s="717"/>
      <c r="L50" s="717"/>
      <c r="M50" s="717"/>
      <c r="N50" s="717"/>
      <c r="O50" s="717"/>
      <c r="P50" s="712"/>
      <c r="Q50" s="717"/>
    </row>
    <row r="51" spans="2:17">
      <c r="B51" s="348"/>
      <c r="C51" s="1528" t="s">
        <v>620</v>
      </c>
      <c r="D51" s="1529"/>
      <c r="E51" s="712"/>
      <c r="F51" s="714">
        <f>F47-F49-F50-F48</f>
        <v>6530774.9121861765</v>
      </c>
      <c r="G51" s="714"/>
      <c r="H51" s="718"/>
      <c r="I51" s="712"/>
      <c r="J51" s="718"/>
      <c r="K51" s="718"/>
      <c r="L51" s="718"/>
      <c r="M51" s="718"/>
      <c r="N51" s="718"/>
      <c r="O51" s="718"/>
      <c r="P51" s="718"/>
      <c r="Q51" s="718"/>
    </row>
    <row r="52" spans="2:17">
      <c r="B52" s="348"/>
      <c r="C52" s="1529"/>
      <c r="D52" s="1529"/>
      <c r="E52" s="712"/>
      <c r="F52" s="709"/>
      <c r="G52" s="709"/>
      <c r="H52" s="719"/>
      <c r="I52" s="720"/>
      <c r="J52" s="720"/>
      <c r="K52" s="720"/>
      <c r="L52" s="720"/>
      <c r="M52" s="720"/>
      <c r="N52" s="720"/>
      <c r="O52" s="720"/>
      <c r="P52" s="720"/>
      <c r="Q52" s="720"/>
    </row>
    <row r="53" spans="2:17" ht="15.75">
      <c r="B53" s="348"/>
      <c r="C53" s="658" t="str">
        <f>"B.   Determine Annual Revenue Requirement with hypothetical "&amp;F17&amp;" basis point increase in ROE."</f>
        <v>B.   Determine Annual Revenue Requirement with hypothetical 0 basis point increase in ROE.</v>
      </c>
      <c r="D53" s="721"/>
      <c r="E53" s="721"/>
      <c r="F53" s="709"/>
      <c r="G53" s="709"/>
      <c r="H53" s="719"/>
      <c r="I53" s="720"/>
      <c r="J53" s="720"/>
      <c r="K53" s="720"/>
      <c r="L53" s="720"/>
      <c r="M53" s="720"/>
      <c r="N53" s="720"/>
      <c r="O53" s="720"/>
      <c r="P53" s="720"/>
      <c r="Q53" s="720"/>
    </row>
    <row r="54" spans="2:17">
      <c r="B54" s="348"/>
      <c r="C54" s="711"/>
      <c r="D54" s="721"/>
      <c r="E54" s="721"/>
      <c r="F54" s="709"/>
      <c r="G54" s="709"/>
      <c r="H54" s="719"/>
      <c r="I54" s="720"/>
      <c r="J54" s="720"/>
      <c r="K54" s="720"/>
      <c r="L54" s="720"/>
      <c r="M54" s="720"/>
      <c r="N54" s="720"/>
      <c r="O54" s="720"/>
      <c r="P54" s="720"/>
      <c r="Q54" s="720"/>
    </row>
    <row r="55" spans="2:17">
      <c r="B55" s="348"/>
      <c r="C55" s="713" t="str">
        <f>C51</f>
        <v xml:space="preserve">   Annual Revenue Requirement, Less Lease Payments, Return and Taxes</v>
      </c>
      <c r="D55" s="721"/>
      <c r="E55" s="721"/>
      <c r="F55" s="709">
        <f>F51</f>
        <v>6530774.9121861765</v>
      </c>
      <c r="G55" s="709"/>
      <c r="H55" s="712"/>
      <c r="I55" s="712"/>
      <c r="J55" s="712"/>
      <c r="K55" s="712"/>
      <c r="L55" s="712"/>
      <c r="M55" s="712"/>
      <c r="N55" s="712"/>
      <c r="O55" s="712"/>
      <c r="P55" s="722"/>
      <c r="Q55" s="712"/>
    </row>
    <row r="56" spans="2:17">
      <c r="B56" s="348"/>
      <c r="C56" s="663" t="s">
        <v>94</v>
      </c>
      <c r="D56" s="723"/>
      <c r="E56" s="724"/>
      <c r="F56" s="725">
        <f>E30</f>
        <v>7631371.3007701645</v>
      </c>
      <c r="G56" s="725"/>
      <c r="H56" s="724"/>
      <c r="I56" s="832"/>
      <c r="J56" s="724"/>
      <c r="K56" s="724"/>
      <c r="L56" s="724"/>
      <c r="M56" s="724"/>
      <c r="N56" s="724"/>
      <c r="O56" s="724"/>
      <c r="P56" s="724"/>
      <c r="Q56" s="724"/>
    </row>
    <row r="57" spans="2:17" ht="12.75" customHeight="1">
      <c r="B57" s="348"/>
      <c r="C57" s="659" t="s">
        <v>62</v>
      </c>
      <c r="D57" s="712"/>
      <c r="E57" s="712"/>
      <c r="F57" s="716">
        <f>E40</f>
        <v>1916482.9193718128</v>
      </c>
      <c r="G57" s="716"/>
      <c r="H57" s="314"/>
      <c r="I57" s="707"/>
      <c r="J57" s="314"/>
      <c r="K57" s="425"/>
      <c r="Q57" s="425"/>
    </row>
    <row r="58" spans="2:17">
      <c r="B58" s="348"/>
      <c r="C58" s="724" t="str">
        <f>"   Annual Revenue Requirement, with "&amp;F17&amp;" Basis Point ROE increase"</f>
        <v xml:space="preserve">   Annual Revenue Requirement, with 0 Basis Point ROE increase</v>
      </c>
      <c r="D58" s="537"/>
      <c r="E58" s="314"/>
      <c r="F58" s="708">
        <f>SUM(F55:F57)</f>
        <v>16078629.132328155</v>
      </c>
      <c r="G58" s="708"/>
      <c r="H58" s="314"/>
      <c r="I58" s="707"/>
      <c r="J58" s="314"/>
      <c r="K58" s="425"/>
      <c r="Q58" s="425"/>
    </row>
    <row r="59" spans="2:17">
      <c r="B59" s="348"/>
      <c r="C59" s="659" t="str">
        <f>"   Depreciation  (TCOS, ln "&amp;TCOS!B154&amp;")"</f>
        <v xml:space="preserve">   Depreciation  (TCOS, ln 83)</v>
      </c>
      <c r="D59" s="537"/>
      <c r="E59" s="314"/>
      <c r="F59" s="726">
        <f>TCOS!L154</f>
        <v>3314270</v>
      </c>
      <c r="G59" s="726"/>
      <c r="H59" s="708"/>
      <c r="I59" s="707"/>
      <c r="J59" s="314"/>
      <c r="K59" s="425"/>
      <c r="Q59" s="425"/>
    </row>
    <row r="60" spans="2:17">
      <c r="B60" s="348"/>
      <c r="C60" s="1530" t="str">
        <f>"   Annual Rev. Req, w/ "&amp;F17&amp;" Basis Point ROE increase, less Depreciation"</f>
        <v xml:space="preserve">   Annual Rev. Req, w/ 0 Basis Point ROE increase, less Depreciation</v>
      </c>
      <c r="D60" s="1520"/>
      <c r="E60" s="314"/>
      <c r="F60" s="708">
        <f>F58-F59</f>
        <v>12764359.132328155</v>
      </c>
      <c r="G60" s="708"/>
      <c r="H60" s="314"/>
      <c r="I60" s="707"/>
      <c r="J60" s="314"/>
      <c r="K60" s="425"/>
      <c r="Q60" s="425"/>
    </row>
    <row r="61" spans="2:17">
      <c r="B61" s="348"/>
      <c r="C61" s="1520"/>
      <c r="D61" s="1520"/>
      <c r="E61" s="314"/>
      <c r="F61" s="314"/>
      <c r="G61" s="314"/>
      <c r="H61" s="314"/>
      <c r="I61" s="707"/>
      <c r="J61" s="314"/>
      <c r="K61" s="425"/>
      <c r="Q61" s="425"/>
    </row>
    <row r="62" spans="2:17" ht="15.75">
      <c r="B62" s="348"/>
      <c r="C62" s="658" t="str">
        <f>"C.   Determine FCR with hypothetical "&amp;F17&amp;" basis point ROE increase."</f>
        <v>C.   Determine FCR with hypothetical 0 basis point ROE increase.</v>
      </c>
      <c r="D62" s="537"/>
      <c r="E62" s="314"/>
      <c r="F62" s="314"/>
      <c r="G62" s="314"/>
      <c r="H62" s="314"/>
      <c r="I62" s="707"/>
      <c r="J62" s="314"/>
      <c r="K62" s="425"/>
      <c r="Q62" s="425"/>
    </row>
    <row r="63" spans="2:17">
      <c r="B63" s="348"/>
      <c r="C63" s="314"/>
      <c r="D63" s="537"/>
      <c r="E63" s="314"/>
      <c r="F63" s="314"/>
      <c r="G63" s="314"/>
      <c r="H63" s="314"/>
      <c r="I63" s="707"/>
      <c r="J63" s="314"/>
      <c r="K63" s="425"/>
      <c r="Q63" s="425"/>
    </row>
    <row r="64" spans="2:17">
      <c r="B64" s="348"/>
      <c r="C64" s="659" t="str">
        <f>"   Net Transmission Plant  (Projected TCOS, ln "&amp;TCOS!B79&amp;")"</f>
        <v xml:space="preserve">   Net Transmission Plant  (Projected TCOS, ln 33)</v>
      </c>
      <c r="D64" s="537"/>
      <c r="E64" s="314"/>
      <c r="F64" s="708">
        <f>TCOS!L79</f>
        <v>116938284.97999997</v>
      </c>
      <c r="G64" s="708"/>
      <c r="H64" s="708"/>
      <c r="I64" s="833"/>
      <c r="J64" s="314"/>
      <c r="K64" s="425"/>
      <c r="Q64" s="425"/>
    </row>
    <row r="65" spans="2:17">
      <c r="B65" s="348"/>
      <c r="C65" s="724" t="str">
        <f>"   Annual Revenue Requirement, with "&amp;F17&amp;" Basis Point ROE increase"</f>
        <v xml:space="preserve">   Annual Revenue Requirement, with 0 Basis Point ROE increase</v>
      </c>
      <c r="D65" s="537"/>
      <c r="E65" s="314"/>
      <c r="F65" s="708">
        <f>F58</f>
        <v>16078629.132328155</v>
      </c>
      <c r="G65" s="708"/>
      <c r="H65" s="314"/>
      <c r="I65" s="707"/>
      <c r="J65" s="314"/>
      <c r="K65" s="425"/>
      <c r="Q65" s="425"/>
    </row>
    <row r="66" spans="2:17">
      <c r="B66" s="348"/>
      <c r="C66" s="724" t="str">
        <f>"   FCR with "&amp;F17&amp;" Basis Point increase in ROE"</f>
        <v xml:space="preserve">   FCR with 0 Basis Point increase in ROE</v>
      </c>
      <c r="D66" s="537"/>
      <c r="E66" s="314"/>
      <c r="F66" s="706">
        <f>IF(F64=0,0,F65/F64)</f>
        <v>0.13749670721678611</v>
      </c>
      <c r="G66" s="706"/>
      <c r="H66" s="706"/>
      <c r="I66" s="707"/>
      <c r="J66" s="314"/>
      <c r="K66" s="425"/>
      <c r="Q66" s="425"/>
    </row>
    <row r="67" spans="2:17">
      <c r="B67" s="348"/>
      <c r="C67" s="209"/>
      <c r="D67" s="537"/>
      <c r="E67" s="314"/>
      <c r="F67" s="348"/>
      <c r="G67" s="348"/>
      <c r="H67" s="314"/>
      <c r="I67" s="707"/>
      <c r="J67" s="314"/>
      <c r="K67" s="425"/>
      <c r="Q67" s="425"/>
    </row>
    <row r="68" spans="2:17">
      <c r="B68" s="348"/>
      <c r="C68" s="724" t="str">
        <f>"   Annual Rev. Req, w / "&amp;F17&amp;" Basis Point ROE increase, less Dep."</f>
        <v xml:space="preserve">   Annual Rev. Req, w / 0 Basis Point ROE increase, less Dep.</v>
      </c>
      <c r="D68" s="537"/>
      <c r="E68" s="314"/>
      <c r="F68" s="708">
        <f>F60</f>
        <v>12764359.132328155</v>
      </c>
      <c r="G68" s="708"/>
      <c r="H68" s="314"/>
      <c r="I68" s="707"/>
      <c r="J68" s="314"/>
      <c r="K68" s="425"/>
      <c r="Q68" s="425"/>
    </row>
    <row r="69" spans="2:17">
      <c r="B69" s="348"/>
      <c r="C69" s="724" t="str">
        <f>"   FCR with "&amp;F17&amp;" Basis Point ROE increase, less Depreciation"</f>
        <v xml:space="preserve">   FCR with 0 Basis Point ROE increase, less Depreciation</v>
      </c>
      <c r="D69" s="537"/>
      <c r="E69" s="314"/>
      <c r="F69" s="706">
        <f>IF(F68=0,0,F68/F64)</f>
        <v>0.10915466337231858</v>
      </c>
      <c r="G69" s="706"/>
      <c r="H69" s="314"/>
      <c r="I69" s="707"/>
      <c r="J69" s="314"/>
      <c r="K69" s="425"/>
      <c r="Q69" s="425"/>
    </row>
    <row r="70" spans="2:17">
      <c r="B70" s="348"/>
      <c r="C70" s="659" t="str">
        <f>"   FCR less Depreciation  (TCOS, ln "&amp;TCOS!B31&amp;")"</f>
        <v xml:space="preserve">   FCR less Depreciation  (TCOS, ln 10)</v>
      </c>
      <c r="D70" s="537"/>
      <c r="E70" s="314"/>
      <c r="F70" s="728">
        <f>TCOS!L31</f>
        <v>0.10915466337231856</v>
      </c>
      <c r="G70" s="728"/>
      <c r="H70" s="314"/>
      <c r="I70" s="707"/>
      <c r="J70" s="314"/>
      <c r="K70" s="425"/>
      <c r="Q70" s="425"/>
    </row>
    <row r="71" spans="2:17">
      <c r="B71" s="348"/>
      <c r="C71" s="1530" t="str">
        <f>"   Incremental FCR with "&amp;F17&amp;" Basis Point ROE increase, less Depreciation"</f>
        <v xml:space="preserve">   Incremental FCR with 0 Basis Point ROE increase, less Depreciation</v>
      </c>
      <c r="D71" s="1520"/>
      <c r="E71" s="314"/>
      <c r="F71" s="706">
        <f>F69-F70</f>
        <v>0</v>
      </c>
      <c r="G71" s="706"/>
      <c r="H71" s="314"/>
      <c r="I71" s="707"/>
      <c r="J71" s="314"/>
      <c r="K71" s="425"/>
      <c r="Q71" s="425"/>
    </row>
    <row r="72" spans="2:17">
      <c r="B72" s="348"/>
      <c r="C72" s="1520"/>
      <c r="D72" s="1520"/>
      <c r="E72" s="314"/>
      <c r="F72" s="706"/>
      <c r="G72" s="706"/>
      <c r="H72" s="314"/>
      <c r="I72" s="707"/>
      <c r="J72" s="314"/>
      <c r="K72" s="425"/>
      <c r="Q72" s="425"/>
    </row>
    <row r="73" spans="2:17" ht="18.75">
      <c r="B73" s="656" t="s">
        <v>465</v>
      </c>
      <c r="C73" s="655" t="s">
        <v>63</v>
      </c>
      <c r="D73" s="537"/>
      <c r="E73" s="314"/>
      <c r="F73" s="706"/>
      <c r="G73" s="706"/>
      <c r="H73" s="314"/>
      <c r="I73" s="707"/>
      <c r="J73" s="314"/>
      <c r="K73" s="425"/>
      <c r="Q73" s="425"/>
    </row>
    <row r="74" spans="2:17">
      <c r="B74" s="348"/>
      <c r="C74" s="724"/>
      <c r="D74" s="537"/>
      <c r="E74" s="314"/>
      <c r="F74" s="706"/>
      <c r="G74" s="706"/>
      <c r="H74" s="314"/>
      <c r="I74" s="707"/>
      <c r="J74" s="314"/>
      <c r="K74" s="425"/>
      <c r="Q74" s="425"/>
    </row>
    <row r="75" spans="2:17">
      <c r="B75" s="348"/>
      <c r="C75" s="724" t="str">
        <f>+"Average Transmission Plant Balance for "&amp;TCOS!L4&amp;" TCOS, ln "&amp;TCOS!B63</f>
        <v>Average Transmission Plant Balance for 2024 TCOS, ln 19</v>
      </c>
      <c r="D75" s="537"/>
      <c r="E75" s="314"/>
      <c r="F75" s="314"/>
      <c r="G75" s="314"/>
      <c r="H75" s="707">
        <f>TCOS!L63</f>
        <v>128440275.49076921</v>
      </c>
      <c r="J75" s="314"/>
      <c r="K75" s="425"/>
      <c r="Q75" s="425"/>
    </row>
    <row r="76" spans="2:17">
      <c r="B76" s="348"/>
      <c r="C76" s="724" t="str">
        <f>"Annual Depreciation and Amortization Expense (TCOS, ln "&amp;TCOS!B154&amp;")"</f>
        <v>Annual Depreciation and Amortization Expense (TCOS, ln 83)</v>
      </c>
      <c r="D76" s="537"/>
      <c r="E76" s="314"/>
      <c r="H76" s="488">
        <f>TCOS!L154</f>
        <v>3314270</v>
      </c>
      <c r="I76" s="707"/>
      <c r="J76" s="314"/>
      <c r="K76" s="425"/>
      <c r="Q76" s="425"/>
    </row>
    <row r="77" spans="2:17">
      <c r="B77" s="348"/>
      <c r="C77" s="724" t="s">
        <v>64</v>
      </c>
      <c r="D77" s="537"/>
      <c r="E77" s="314"/>
      <c r="H77" s="901">
        <f>H76/H75</f>
        <v>2.5803977664608724E-2</v>
      </c>
      <c r="I77" s="730"/>
      <c r="J77" s="152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K77" s="1521"/>
      <c r="L77" s="1521"/>
      <c r="M77" s="1521"/>
      <c r="N77" s="1521"/>
      <c r="O77" s="1521"/>
      <c r="P77" s="1521"/>
      <c r="Q77" s="657"/>
    </row>
    <row r="78" spans="2:17">
      <c r="B78" s="348"/>
      <c r="C78" s="724" t="s">
        <v>65</v>
      </c>
      <c r="D78" s="537"/>
      <c r="E78" s="314"/>
      <c r="H78" s="731">
        <f>IF(H77=0,0,1/H77)</f>
        <v>38.753715144140102</v>
      </c>
      <c r="I78" s="707"/>
      <c r="J78" s="1521"/>
      <c r="K78" s="1521"/>
      <c r="L78" s="1521"/>
      <c r="M78" s="1521"/>
      <c r="N78" s="1521"/>
      <c r="O78" s="1521"/>
      <c r="P78" s="1521"/>
      <c r="Q78" s="657"/>
    </row>
    <row r="79" spans="2:17">
      <c r="B79" s="348"/>
      <c r="C79" s="724" t="s">
        <v>590</v>
      </c>
      <c r="D79" s="537"/>
      <c r="E79" s="314"/>
      <c r="H79" s="733">
        <f>ROUND(H78,0)</f>
        <v>39</v>
      </c>
      <c r="I79" s="707"/>
      <c r="J79" s="1521"/>
      <c r="K79" s="1521"/>
      <c r="L79" s="1521"/>
      <c r="M79" s="1521"/>
      <c r="N79" s="1521"/>
      <c r="O79" s="1521"/>
      <c r="P79" s="1521"/>
      <c r="Q79" s="657"/>
    </row>
    <row r="80" spans="2:17">
      <c r="B80" s="348"/>
      <c r="C80" s="724"/>
      <c r="D80" s="537"/>
      <c r="E80" s="314"/>
      <c r="H80" s="733"/>
      <c r="I80" s="707"/>
      <c r="J80" s="1521"/>
      <c r="K80" s="1521"/>
      <c r="L80" s="1521"/>
      <c r="M80" s="1521"/>
      <c r="N80" s="1521"/>
      <c r="O80" s="1521"/>
      <c r="P80" s="1521"/>
    </row>
    <row r="81" spans="1:17" ht="20.25">
      <c r="A81" s="736" t="str">
        <f>""&amp;A6&amp;" Worksheet K -  ATRR TRUE-UP Calculation for PJM Projects Charged to Benefiting Zones"</f>
        <v>AEP Appalachian Transmission Company Worksheet K -  ATRR TRUE-UP Calculation for PJM Projects Charged to Benefiting Zones</v>
      </c>
      <c r="B81" s="348"/>
      <c r="C81" s="724"/>
      <c r="D81" s="537"/>
      <c r="E81" s="314"/>
      <c r="F81" s="706"/>
      <c r="G81" s="706"/>
      <c r="H81" s="314"/>
      <c r="I81" s="707"/>
      <c r="L81" s="563"/>
      <c r="M81" s="563"/>
      <c r="N81" s="563"/>
      <c r="O81" s="652" t="str">
        <f>"Page "&amp;SUM(Q$8:Q81)&amp;" of "</f>
        <v xml:space="preserve">Page 2 of </v>
      </c>
      <c r="P81" s="653">
        <f>COUNT(Q$8:Q$57702)</f>
        <v>2</v>
      </c>
      <c r="Q81" s="737">
        <v>1</v>
      </c>
    </row>
    <row r="82" spans="1:17">
      <c r="B82" s="348"/>
      <c r="C82" s="314"/>
      <c r="D82" s="537"/>
      <c r="E82" s="314"/>
      <c r="F82" s="314"/>
      <c r="G82" s="314"/>
      <c r="H82" s="314"/>
      <c r="I82" s="707"/>
      <c r="J82" s="314"/>
      <c r="K82" s="425"/>
    </row>
    <row r="83" spans="1:17" ht="18">
      <c r="B83" s="656" t="s">
        <v>466</v>
      </c>
      <c r="C83" s="738" t="s">
        <v>85</v>
      </c>
      <c r="D83" s="537"/>
      <c r="E83" s="314"/>
      <c r="F83" s="314"/>
      <c r="G83" s="314"/>
      <c r="H83" s="314"/>
      <c r="I83" s="707"/>
      <c r="J83" s="707"/>
      <c r="K83" s="729"/>
      <c r="L83" s="707"/>
      <c r="M83" s="707"/>
      <c r="N83" s="707"/>
      <c r="O83" s="707"/>
      <c r="Q83" s="425"/>
    </row>
    <row r="84" spans="1:17" ht="18.75">
      <c r="B84" s="656"/>
      <c r="C84" s="655"/>
      <c r="D84" s="537"/>
      <c r="E84" s="314"/>
      <c r="F84" s="314"/>
      <c r="G84" s="314"/>
      <c r="H84" s="314"/>
      <c r="I84" s="707"/>
      <c r="J84" s="707"/>
      <c r="K84" s="729"/>
      <c r="L84" s="707"/>
      <c r="M84" s="707"/>
      <c r="N84" s="707"/>
      <c r="O84" s="707"/>
    </row>
    <row r="85" spans="1:17" ht="18.75">
      <c r="B85" s="656"/>
      <c r="C85" s="655" t="s">
        <v>86</v>
      </c>
      <c r="D85" s="537"/>
      <c r="E85" s="314"/>
      <c r="F85" s="314"/>
      <c r="G85" s="314"/>
      <c r="H85" s="314"/>
      <c r="I85" s="707"/>
      <c r="J85" s="707"/>
      <c r="K85" s="729"/>
      <c r="L85" s="707"/>
      <c r="M85" s="707"/>
      <c r="N85" s="707"/>
      <c r="O85" s="707"/>
    </row>
    <row r="86" spans="1:17" ht="15.75" thickBot="1">
      <c r="C86" s="240"/>
      <c r="D86" s="537"/>
      <c r="E86" s="314"/>
      <c r="F86" s="314"/>
      <c r="G86" s="314"/>
      <c r="H86" s="314"/>
      <c r="I86" s="707"/>
      <c r="J86" s="707"/>
      <c r="K86" s="729"/>
      <c r="L86" s="707"/>
      <c r="M86" s="707"/>
      <c r="N86" s="707"/>
      <c r="O86" s="707"/>
    </row>
    <row r="87" spans="1:17" ht="15.75">
      <c r="C87" s="658" t="s">
        <v>87</v>
      </c>
      <c r="D87" s="537"/>
      <c r="E87" s="314"/>
      <c r="F87" s="314"/>
      <c r="G87" s="314"/>
      <c r="H87" s="805"/>
      <c r="I87" s="314" t="s">
        <v>66</v>
      </c>
      <c r="J87" s="314"/>
      <c r="K87" s="425"/>
      <c r="L87" s="834">
        <f>+J93</f>
        <v>2024</v>
      </c>
      <c r="M87" s="815" t="s">
        <v>45</v>
      </c>
      <c r="N87" s="815" t="s">
        <v>46</v>
      </c>
      <c r="O87" s="816" t="s">
        <v>47</v>
      </c>
    </row>
    <row r="88" spans="1:17" ht="15.75">
      <c r="C88" s="658"/>
      <c r="D88" s="537"/>
      <c r="E88" s="314"/>
      <c r="F88" s="314"/>
      <c r="H88" s="314"/>
      <c r="I88" s="743"/>
      <c r="J88" s="743"/>
      <c r="K88" s="744"/>
      <c r="L88" s="835" t="s">
        <v>235</v>
      </c>
      <c r="M88" s="836" t="e">
        <f>VLOOKUP(J93,C100:P159,10)</f>
        <v>#N/A</v>
      </c>
      <c r="N88" s="836" t="e">
        <f>VLOOKUP(J93,C100:P159,12)</f>
        <v>#N/A</v>
      </c>
      <c r="O88" s="837" t="e">
        <f>+N88-M88</f>
        <v>#N/A</v>
      </c>
    </row>
    <row r="89" spans="1:17">
      <c r="C89" s="748" t="s">
        <v>88</v>
      </c>
      <c r="D89" s="1516"/>
      <c r="E89" s="1516"/>
      <c r="F89" s="1516"/>
      <c r="G89" s="1516"/>
      <c r="H89" s="1516"/>
      <c r="I89" s="1516"/>
      <c r="J89" s="707"/>
      <c r="K89" s="729"/>
      <c r="L89" s="835" t="s">
        <v>236</v>
      </c>
      <c r="M89" s="838" t="e">
        <f>VLOOKUP(J93,C100:P159,6)</f>
        <v>#N/A</v>
      </c>
      <c r="N89" s="838" t="e">
        <f>VLOOKUP(J93,C100:P159,7)</f>
        <v>#N/A</v>
      </c>
      <c r="O89" s="839" t="e">
        <f>+N89-M89</f>
        <v>#N/A</v>
      </c>
    </row>
    <row r="90" spans="1:17" ht="13.5" thickBot="1">
      <c r="C90" s="752"/>
      <c r="D90" s="753"/>
      <c r="E90" s="733"/>
      <c r="F90" s="733"/>
      <c r="G90" s="733"/>
      <c r="H90" s="754"/>
      <c r="I90" s="707"/>
      <c r="J90" s="707"/>
      <c r="K90" s="729"/>
      <c r="L90" s="771" t="s">
        <v>237</v>
      </c>
      <c r="M90" s="840" t="e">
        <f>+M89-M88</f>
        <v>#N/A</v>
      </c>
      <c r="N90" s="840" t="e">
        <f>+N89-N88</f>
        <v>#N/A</v>
      </c>
      <c r="O90" s="841" t="e">
        <f>+O89-O88</f>
        <v>#N/A</v>
      </c>
    </row>
    <row r="91" spans="1:17" ht="13.5" thickBot="1">
      <c r="C91" s="755"/>
      <c r="D91" s="756"/>
      <c r="E91" s="754"/>
      <c r="F91" s="754"/>
      <c r="G91" s="754"/>
      <c r="H91" s="754"/>
      <c r="I91" s="754"/>
      <c r="J91" s="754"/>
      <c r="K91" s="757"/>
      <c r="L91" s="754"/>
      <c r="M91" s="754"/>
      <c r="N91" s="754"/>
      <c r="O91" s="754"/>
      <c r="P91" s="348"/>
    </row>
    <row r="92" spans="1:17" ht="13.5" thickBot="1">
      <c r="C92" s="758" t="s">
        <v>89</v>
      </c>
      <c r="D92" s="759"/>
      <c r="E92" s="759"/>
      <c r="F92" s="759"/>
      <c r="G92" s="759"/>
      <c r="H92" s="759"/>
      <c r="I92" s="759"/>
      <c r="J92" s="759"/>
      <c r="K92" s="761"/>
      <c r="P92" s="762"/>
    </row>
    <row r="93" spans="1:17" ht="15">
      <c r="C93" s="763" t="s">
        <v>67</v>
      </c>
      <c r="D93" s="807"/>
      <c r="E93" s="724" t="s">
        <v>68</v>
      </c>
      <c r="H93" s="764"/>
      <c r="I93" s="764"/>
      <c r="J93" s="765">
        <v>2024</v>
      </c>
      <c r="K93" s="553"/>
      <c r="L93" s="1518" t="s">
        <v>69</v>
      </c>
      <c r="M93" s="1518"/>
      <c r="N93" s="1518"/>
      <c r="O93" s="1518"/>
      <c r="P93" s="425"/>
    </row>
    <row r="94" spans="1:17">
      <c r="C94" s="763" t="s">
        <v>70</v>
      </c>
      <c r="D94" s="808"/>
      <c r="E94" s="763" t="s">
        <v>71</v>
      </c>
      <c r="F94" s="764"/>
      <c r="G94" s="764"/>
      <c r="I94" s="173"/>
      <c r="J94" s="809">
        <f>IF(H87="",0,$F$17)</f>
        <v>0</v>
      </c>
      <c r="K94" s="766"/>
      <c r="L94" s="729" t="s">
        <v>277</v>
      </c>
      <c r="P94" s="425"/>
    </row>
    <row r="95" spans="1:17">
      <c r="C95" s="763" t="s">
        <v>72</v>
      </c>
      <c r="D95" s="807"/>
      <c r="E95" s="763" t="s">
        <v>73</v>
      </c>
      <c r="F95" s="764"/>
      <c r="G95" s="764"/>
      <c r="I95" s="173"/>
      <c r="J95" s="767">
        <f>$F$70</f>
        <v>0.10915466337231856</v>
      </c>
      <c r="K95" s="768"/>
      <c r="L95" s="314" t="str">
        <f>"          INPUT TRUE-UP ARR (WITH &amp; WITHOUT INCENTIVES) FROM EACH PRIOR YEAR"</f>
        <v xml:space="preserve">          INPUT TRUE-UP ARR (WITH &amp; WITHOUT INCENTIVES) FROM EACH PRIOR YEAR</v>
      </c>
      <c r="P95" s="425"/>
    </row>
    <row r="96" spans="1:17">
      <c r="C96" s="763" t="s">
        <v>74</v>
      </c>
      <c r="D96" s="769">
        <f>H$79</f>
        <v>39</v>
      </c>
      <c r="E96" s="763" t="s">
        <v>75</v>
      </c>
      <c r="F96" s="764"/>
      <c r="G96" s="764"/>
      <c r="I96" s="173"/>
      <c r="J96" s="767">
        <f>IF(H87="",+J95,$F$69)</f>
        <v>0.10915466337231856</v>
      </c>
      <c r="K96" s="770"/>
      <c r="L96" s="314" t="s">
        <v>157</v>
      </c>
      <c r="M96" s="770"/>
      <c r="N96" s="770"/>
      <c r="O96" s="770"/>
      <c r="P96" s="425"/>
    </row>
    <row r="97" spans="2:16" ht="13.5" thickBot="1">
      <c r="C97" s="763" t="s">
        <v>76</v>
      </c>
      <c r="D97" s="806"/>
      <c r="E97" s="771" t="s">
        <v>77</v>
      </c>
      <c r="F97" s="772"/>
      <c r="G97" s="772"/>
      <c r="H97" s="773"/>
      <c r="I97" s="773"/>
      <c r="J97" s="751">
        <f>IF(D93=0,0,D93/D96)</f>
        <v>0</v>
      </c>
      <c r="K97" s="729"/>
      <c r="L97" s="729" t="s">
        <v>158</v>
      </c>
      <c r="M97" s="729"/>
      <c r="N97" s="729"/>
      <c r="O97" s="729"/>
      <c r="P97" s="425"/>
    </row>
    <row r="98" spans="2:16" ht="38.25">
      <c r="B98" s="844"/>
      <c r="C98" s="774" t="s">
        <v>67</v>
      </c>
      <c r="D98" s="775" t="s">
        <v>78</v>
      </c>
      <c r="E98" s="776" t="s">
        <v>79</v>
      </c>
      <c r="F98" s="775" t="s">
        <v>80</v>
      </c>
      <c r="G98" s="775" t="s">
        <v>238</v>
      </c>
      <c r="H98" s="776" t="s">
        <v>151</v>
      </c>
      <c r="I98" s="777" t="s">
        <v>151</v>
      </c>
      <c r="J98" s="774" t="s">
        <v>90</v>
      </c>
      <c r="K98" s="778"/>
      <c r="L98" s="776" t="s">
        <v>153</v>
      </c>
      <c r="M98" s="776" t="s">
        <v>159</v>
      </c>
      <c r="N98" s="776" t="s">
        <v>153</v>
      </c>
      <c r="O98" s="776" t="s">
        <v>161</v>
      </c>
      <c r="P98" s="776" t="s">
        <v>81</v>
      </c>
    </row>
    <row r="99" spans="2:16" ht="13.5" thickBot="1">
      <c r="C99" s="780" t="s">
        <v>469</v>
      </c>
      <c r="D99" s="781" t="s">
        <v>470</v>
      </c>
      <c r="E99" s="780" t="s">
        <v>363</v>
      </c>
      <c r="F99" s="781" t="s">
        <v>470</v>
      </c>
      <c r="G99" s="781" t="s">
        <v>470</v>
      </c>
      <c r="H99" s="782" t="s">
        <v>93</v>
      </c>
      <c r="I99" s="783" t="s">
        <v>95</v>
      </c>
      <c r="J99" s="784" t="s">
        <v>15</v>
      </c>
      <c r="K99" s="785"/>
      <c r="L99" s="782" t="s">
        <v>82</v>
      </c>
      <c r="M99" s="782" t="s">
        <v>82</v>
      </c>
      <c r="N99" s="782" t="s">
        <v>255</v>
      </c>
      <c r="O99" s="782" t="s">
        <v>255</v>
      </c>
      <c r="P99" s="782" t="s">
        <v>255</v>
      </c>
    </row>
    <row r="100" spans="2:16">
      <c r="C100" s="787" t="str">
        <f>IF(D94= "","-",D94)</f>
        <v>-</v>
      </c>
      <c r="D100" s="735">
        <f>+D93</f>
        <v>0</v>
      </c>
      <c r="E100" s="793">
        <f>+J97/12*(12-D95)</f>
        <v>0</v>
      </c>
      <c r="F100" s="842">
        <f t="shared" ref="F100:F159" si="0">+D100-E100</f>
        <v>0</v>
      </c>
      <c r="G100" s="735">
        <f>+(D100+F100)/2</f>
        <v>0</v>
      </c>
      <c r="H100" s="789">
        <f>+J95*G100+E100</f>
        <v>0</v>
      </c>
      <c r="I100" s="790">
        <f>+J96*G100+E100</f>
        <v>0</v>
      </c>
      <c r="J100" s="791">
        <f>+I100-H100</f>
        <v>0</v>
      </c>
      <c r="K100" s="791"/>
      <c r="L100" s="810"/>
      <c r="M100" s="843">
        <f t="shared" ref="M100:M159" si="1">IF(L100&lt;&gt;0,+H100-L100,0)</f>
        <v>0</v>
      </c>
      <c r="N100" s="810"/>
      <c r="O100" s="843">
        <f t="shared" ref="O100:O159" si="2">IF(N100&lt;&gt;0,+I100-N100,0)</f>
        <v>0</v>
      </c>
      <c r="P100" s="843">
        <f t="shared" ref="P100:P159" si="3">+O100-M100</f>
        <v>0</v>
      </c>
    </row>
    <row r="101" spans="2:16">
      <c r="C101" s="787" t="str">
        <f>IF(D94="","-",+C100+1)</f>
        <v>-</v>
      </c>
      <c r="D101" s="735">
        <f t="shared" ref="D101:D159" si="4">F100</f>
        <v>0</v>
      </c>
      <c r="E101" s="788">
        <f>IF(D101&gt;$J$97,$J$97,D101)</f>
        <v>0</v>
      </c>
      <c r="F101" s="788">
        <f t="shared" si="0"/>
        <v>0</v>
      </c>
      <c r="G101" s="735">
        <f t="shared" ref="G101:G159" si="5">+(D101+F101)/2</f>
        <v>0</v>
      </c>
      <c r="H101" s="793">
        <f>+J95*G101+E101</f>
        <v>0</v>
      </c>
      <c r="I101" s="794">
        <f>+J96*G101+E101</f>
        <v>0</v>
      </c>
      <c r="J101" s="791">
        <f>+I101-H101</f>
        <v>0</v>
      </c>
      <c r="K101" s="791"/>
      <c r="L101" s="811"/>
      <c r="M101" s="791">
        <f t="shared" si="1"/>
        <v>0</v>
      </c>
      <c r="N101" s="811"/>
      <c r="O101" s="791">
        <f t="shared" si="2"/>
        <v>0</v>
      </c>
      <c r="P101" s="791">
        <f t="shared" si="3"/>
        <v>0</v>
      </c>
    </row>
    <row r="102" spans="2:16">
      <c r="C102" s="787" t="str">
        <f>IF(D94="","-",+C101+1)</f>
        <v>-</v>
      </c>
      <c r="D102" s="735">
        <f t="shared" si="4"/>
        <v>0</v>
      </c>
      <c r="E102" s="788">
        <f t="shared" ref="E102:E159" si="6">IF(D102&gt;$J$97,$J$97,D102)</f>
        <v>0</v>
      </c>
      <c r="F102" s="788">
        <f t="shared" si="0"/>
        <v>0</v>
      </c>
      <c r="G102" s="735">
        <f t="shared" si="5"/>
        <v>0</v>
      </c>
      <c r="H102" s="793">
        <f>+J95*G102+E102</f>
        <v>0</v>
      </c>
      <c r="I102" s="794">
        <f>+J96*G102+E102</f>
        <v>0</v>
      </c>
      <c r="J102" s="791">
        <f t="shared" ref="J102:J159" si="7">+I102-H102</f>
        <v>0</v>
      </c>
      <c r="K102" s="791"/>
      <c r="L102" s="811"/>
      <c r="M102" s="791">
        <f t="shared" si="1"/>
        <v>0</v>
      </c>
      <c r="N102" s="811"/>
      <c r="O102" s="791">
        <f t="shared" si="2"/>
        <v>0</v>
      </c>
      <c r="P102" s="791">
        <f t="shared" si="3"/>
        <v>0</v>
      </c>
    </row>
    <row r="103" spans="2:16">
      <c r="C103" s="787" t="str">
        <f>IF(D94="","-",+C102+1)</f>
        <v>-</v>
      </c>
      <c r="D103" s="735">
        <f t="shared" si="4"/>
        <v>0</v>
      </c>
      <c r="E103" s="788">
        <f t="shared" si="6"/>
        <v>0</v>
      </c>
      <c r="F103" s="788">
        <f t="shared" si="0"/>
        <v>0</v>
      </c>
      <c r="G103" s="735">
        <f t="shared" si="5"/>
        <v>0</v>
      </c>
      <c r="H103" s="793">
        <f>+J95*G103+E103</f>
        <v>0</v>
      </c>
      <c r="I103" s="794">
        <f>+J96*G103+E103</f>
        <v>0</v>
      </c>
      <c r="J103" s="791">
        <f t="shared" si="7"/>
        <v>0</v>
      </c>
      <c r="K103" s="791"/>
      <c r="L103" s="811"/>
      <c r="M103" s="791">
        <f t="shared" si="1"/>
        <v>0</v>
      </c>
      <c r="N103" s="811"/>
      <c r="O103" s="791">
        <f t="shared" si="2"/>
        <v>0</v>
      </c>
      <c r="P103" s="791">
        <f t="shared" si="3"/>
        <v>0</v>
      </c>
    </row>
    <row r="104" spans="2:16">
      <c r="C104" s="787" t="str">
        <f>IF(D94="","-",+C103+1)</f>
        <v>-</v>
      </c>
      <c r="D104" s="735">
        <f t="shared" si="4"/>
        <v>0</v>
      </c>
      <c r="E104" s="788">
        <f t="shared" si="6"/>
        <v>0</v>
      </c>
      <c r="F104" s="788">
        <f t="shared" si="0"/>
        <v>0</v>
      </c>
      <c r="G104" s="735">
        <f t="shared" si="5"/>
        <v>0</v>
      </c>
      <c r="H104" s="793">
        <f>+J95*G104+E104</f>
        <v>0</v>
      </c>
      <c r="I104" s="794">
        <f>+J96*G104+E104</f>
        <v>0</v>
      </c>
      <c r="J104" s="791">
        <f t="shared" si="7"/>
        <v>0</v>
      </c>
      <c r="K104" s="791"/>
      <c r="L104" s="811"/>
      <c r="M104" s="791">
        <f t="shared" si="1"/>
        <v>0</v>
      </c>
      <c r="N104" s="811"/>
      <c r="O104" s="791">
        <f t="shared" si="2"/>
        <v>0</v>
      </c>
      <c r="P104" s="791">
        <f t="shared" si="3"/>
        <v>0</v>
      </c>
    </row>
    <row r="105" spans="2:16">
      <c r="C105" s="787" t="str">
        <f>IF(D94="","-",+C104+1)</f>
        <v>-</v>
      </c>
      <c r="D105" s="735">
        <f t="shared" si="4"/>
        <v>0</v>
      </c>
      <c r="E105" s="788">
        <f t="shared" si="6"/>
        <v>0</v>
      </c>
      <c r="F105" s="788">
        <f t="shared" si="0"/>
        <v>0</v>
      </c>
      <c r="G105" s="735">
        <f t="shared" si="5"/>
        <v>0</v>
      </c>
      <c r="H105" s="793">
        <f>+J95*G105+E105</f>
        <v>0</v>
      </c>
      <c r="I105" s="794">
        <f>+J96*G105+E105</f>
        <v>0</v>
      </c>
      <c r="J105" s="791">
        <f t="shared" si="7"/>
        <v>0</v>
      </c>
      <c r="K105" s="791"/>
      <c r="L105" s="811"/>
      <c r="M105" s="791">
        <f t="shared" si="1"/>
        <v>0</v>
      </c>
      <c r="N105" s="811"/>
      <c r="O105" s="791">
        <f t="shared" si="2"/>
        <v>0</v>
      </c>
      <c r="P105" s="791">
        <f t="shared" si="3"/>
        <v>0</v>
      </c>
    </row>
    <row r="106" spans="2:16">
      <c r="C106" s="787" t="str">
        <f>IF(D94="","-",+C105+1)</f>
        <v>-</v>
      </c>
      <c r="D106" s="735">
        <f t="shared" si="4"/>
        <v>0</v>
      </c>
      <c r="E106" s="788">
        <f t="shared" si="6"/>
        <v>0</v>
      </c>
      <c r="F106" s="788">
        <f t="shared" si="0"/>
        <v>0</v>
      </c>
      <c r="G106" s="735">
        <f t="shared" si="5"/>
        <v>0</v>
      </c>
      <c r="H106" s="793">
        <f>+J95*G106+E106</f>
        <v>0</v>
      </c>
      <c r="I106" s="794">
        <f>+J96*G106+E106</f>
        <v>0</v>
      </c>
      <c r="J106" s="791">
        <f t="shared" si="7"/>
        <v>0</v>
      </c>
      <c r="K106" s="791"/>
      <c r="L106" s="811"/>
      <c r="M106" s="791">
        <f t="shared" si="1"/>
        <v>0</v>
      </c>
      <c r="N106" s="811"/>
      <c r="O106" s="791">
        <f t="shared" si="2"/>
        <v>0</v>
      </c>
      <c r="P106" s="791">
        <f t="shared" si="3"/>
        <v>0</v>
      </c>
    </row>
    <row r="107" spans="2:16">
      <c r="C107" s="787" t="str">
        <f>IF(D94="","-",+C106+1)</f>
        <v>-</v>
      </c>
      <c r="D107" s="735">
        <f t="shared" si="4"/>
        <v>0</v>
      </c>
      <c r="E107" s="788">
        <f t="shared" si="6"/>
        <v>0</v>
      </c>
      <c r="F107" s="788">
        <f t="shared" si="0"/>
        <v>0</v>
      </c>
      <c r="G107" s="735">
        <f t="shared" si="5"/>
        <v>0</v>
      </c>
      <c r="H107" s="793">
        <f>+J95*G107+E107</f>
        <v>0</v>
      </c>
      <c r="I107" s="794">
        <f>+J96*G107+E107</f>
        <v>0</v>
      </c>
      <c r="J107" s="791">
        <f t="shared" si="7"/>
        <v>0</v>
      </c>
      <c r="K107" s="791"/>
      <c r="L107" s="811"/>
      <c r="M107" s="791">
        <f t="shared" si="1"/>
        <v>0</v>
      </c>
      <c r="N107" s="811"/>
      <c r="O107" s="791">
        <f t="shared" si="2"/>
        <v>0</v>
      </c>
      <c r="P107" s="791">
        <f t="shared" si="3"/>
        <v>0</v>
      </c>
    </row>
    <row r="108" spans="2:16">
      <c r="C108" s="787" t="str">
        <f>IF(D94="","-",+C107+1)</f>
        <v>-</v>
      </c>
      <c r="D108" s="735">
        <f t="shared" si="4"/>
        <v>0</v>
      </c>
      <c r="E108" s="788">
        <f t="shared" si="6"/>
        <v>0</v>
      </c>
      <c r="F108" s="788">
        <f t="shared" si="0"/>
        <v>0</v>
      </c>
      <c r="G108" s="735">
        <f t="shared" si="5"/>
        <v>0</v>
      </c>
      <c r="H108" s="793">
        <f>+J95*G108+E108</f>
        <v>0</v>
      </c>
      <c r="I108" s="794">
        <f>+J96*G108+E108</f>
        <v>0</v>
      </c>
      <c r="J108" s="791">
        <f t="shared" si="7"/>
        <v>0</v>
      </c>
      <c r="K108" s="791"/>
      <c r="L108" s="811"/>
      <c r="M108" s="791">
        <f t="shared" si="1"/>
        <v>0</v>
      </c>
      <c r="N108" s="811"/>
      <c r="O108" s="791">
        <f t="shared" si="2"/>
        <v>0</v>
      </c>
      <c r="P108" s="791">
        <f t="shared" si="3"/>
        <v>0</v>
      </c>
    </row>
    <row r="109" spans="2:16">
      <c r="C109" s="787" t="str">
        <f>IF(D94="","-",+C108+1)</f>
        <v>-</v>
      </c>
      <c r="D109" s="735">
        <f t="shared" si="4"/>
        <v>0</v>
      </c>
      <c r="E109" s="788">
        <f t="shared" si="6"/>
        <v>0</v>
      </c>
      <c r="F109" s="788">
        <f t="shared" si="0"/>
        <v>0</v>
      </c>
      <c r="G109" s="735">
        <f t="shared" si="5"/>
        <v>0</v>
      </c>
      <c r="H109" s="793">
        <f>+J95*G109+E109</f>
        <v>0</v>
      </c>
      <c r="I109" s="794">
        <f>+J96*G109+E109</f>
        <v>0</v>
      </c>
      <c r="J109" s="791">
        <f t="shared" si="7"/>
        <v>0</v>
      </c>
      <c r="K109" s="791"/>
      <c r="L109" s="811"/>
      <c r="M109" s="791">
        <f t="shared" si="1"/>
        <v>0</v>
      </c>
      <c r="N109" s="811"/>
      <c r="O109" s="791">
        <f t="shared" si="2"/>
        <v>0</v>
      </c>
      <c r="P109" s="791">
        <f t="shared" si="3"/>
        <v>0</v>
      </c>
    </row>
    <row r="110" spans="2:16">
      <c r="C110" s="787" t="str">
        <f>IF(D94="","-",+C109+1)</f>
        <v>-</v>
      </c>
      <c r="D110" s="735">
        <f t="shared" si="4"/>
        <v>0</v>
      </c>
      <c r="E110" s="788">
        <f t="shared" si="6"/>
        <v>0</v>
      </c>
      <c r="F110" s="788">
        <f t="shared" si="0"/>
        <v>0</v>
      </c>
      <c r="G110" s="735">
        <f t="shared" si="5"/>
        <v>0</v>
      </c>
      <c r="H110" s="793">
        <f>+J95*G110+E110</f>
        <v>0</v>
      </c>
      <c r="I110" s="794">
        <f>+J96*G110+E110</f>
        <v>0</v>
      </c>
      <c r="J110" s="791">
        <f t="shared" si="7"/>
        <v>0</v>
      </c>
      <c r="K110" s="791"/>
      <c r="L110" s="811"/>
      <c r="M110" s="791">
        <f t="shared" si="1"/>
        <v>0</v>
      </c>
      <c r="N110" s="811"/>
      <c r="O110" s="791">
        <f t="shared" si="2"/>
        <v>0</v>
      </c>
      <c r="P110" s="791">
        <f t="shared" si="3"/>
        <v>0</v>
      </c>
    </row>
    <row r="111" spans="2:16">
      <c r="C111" s="787" t="str">
        <f>IF(D94="","-",+C110+1)</f>
        <v>-</v>
      </c>
      <c r="D111" s="735">
        <f t="shared" si="4"/>
        <v>0</v>
      </c>
      <c r="E111" s="788">
        <f t="shared" si="6"/>
        <v>0</v>
      </c>
      <c r="F111" s="788">
        <f t="shared" si="0"/>
        <v>0</v>
      </c>
      <c r="G111" s="735">
        <f t="shared" si="5"/>
        <v>0</v>
      </c>
      <c r="H111" s="793">
        <f>+J95*G111+E111</f>
        <v>0</v>
      </c>
      <c r="I111" s="794">
        <f>+J96*G111+E111</f>
        <v>0</v>
      </c>
      <c r="J111" s="791">
        <f t="shared" si="7"/>
        <v>0</v>
      </c>
      <c r="K111" s="791"/>
      <c r="L111" s="811"/>
      <c r="M111" s="791">
        <f t="shared" si="1"/>
        <v>0</v>
      </c>
      <c r="N111" s="811"/>
      <c r="O111" s="791">
        <f t="shared" si="2"/>
        <v>0</v>
      </c>
      <c r="P111" s="791">
        <f t="shared" si="3"/>
        <v>0</v>
      </c>
    </row>
    <row r="112" spans="2:16">
      <c r="C112" s="787" t="str">
        <f>IF(D94="","-",+C111+1)</f>
        <v>-</v>
      </c>
      <c r="D112" s="735">
        <f t="shared" si="4"/>
        <v>0</v>
      </c>
      <c r="E112" s="788">
        <f t="shared" si="6"/>
        <v>0</v>
      </c>
      <c r="F112" s="788">
        <f t="shared" si="0"/>
        <v>0</v>
      </c>
      <c r="G112" s="735">
        <f t="shared" si="5"/>
        <v>0</v>
      </c>
      <c r="H112" s="793">
        <f>+J95*G112+E112</f>
        <v>0</v>
      </c>
      <c r="I112" s="794">
        <f>+J96*G112+E112</f>
        <v>0</v>
      </c>
      <c r="J112" s="791">
        <f t="shared" si="7"/>
        <v>0</v>
      </c>
      <c r="K112" s="791"/>
      <c r="L112" s="811"/>
      <c r="M112" s="791">
        <f t="shared" si="1"/>
        <v>0</v>
      </c>
      <c r="N112" s="811"/>
      <c r="O112" s="791">
        <f t="shared" si="2"/>
        <v>0</v>
      </c>
      <c r="P112" s="791">
        <f t="shared" si="3"/>
        <v>0</v>
      </c>
    </row>
    <row r="113" spans="3:16">
      <c r="C113" s="787" t="str">
        <f>IF(D94="","-",+C112+1)</f>
        <v>-</v>
      </c>
      <c r="D113" s="735">
        <f t="shared" si="4"/>
        <v>0</v>
      </c>
      <c r="E113" s="788">
        <f t="shared" si="6"/>
        <v>0</v>
      </c>
      <c r="F113" s="788">
        <f t="shared" si="0"/>
        <v>0</v>
      </c>
      <c r="G113" s="735">
        <f t="shared" si="5"/>
        <v>0</v>
      </c>
      <c r="H113" s="793">
        <f>+J95*G113+E113</f>
        <v>0</v>
      </c>
      <c r="I113" s="794">
        <f>+J96*G113+E113</f>
        <v>0</v>
      </c>
      <c r="J113" s="791">
        <f t="shared" si="7"/>
        <v>0</v>
      </c>
      <c r="K113" s="791"/>
      <c r="L113" s="811"/>
      <c r="M113" s="791">
        <f t="shared" si="1"/>
        <v>0</v>
      </c>
      <c r="N113" s="811"/>
      <c r="O113" s="791">
        <f t="shared" si="2"/>
        <v>0</v>
      </c>
      <c r="P113" s="791">
        <f t="shared" si="3"/>
        <v>0</v>
      </c>
    </row>
    <row r="114" spans="3:16">
      <c r="C114" s="787" t="str">
        <f>IF(D94="","-",+C113+1)</f>
        <v>-</v>
      </c>
      <c r="D114" s="735">
        <f t="shared" si="4"/>
        <v>0</v>
      </c>
      <c r="E114" s="788">
        <f t="shared" si="6"/>
        <v>0</v>
      </c>
      <c r="F114" s="788">
        <f t="shared" si="0"/>
        <v>0</v>
      </c>
      <c r="G114" s="735">
        <f t="shared" si="5"/>
        <v>0</v>
      </c>
      <c r="H114" s="793">
        <f>+J95*G114+E114</f>
        <v>0</v>
      </c>
      <c r="I114" s="794">
        <f>+J96*G114+E114</f>
        <v>0</v>
      </c>
      <c r="J114" s="791">
        <f t="shared" si="7"/>
        <v>0</v>
      </c>
      <c r="K114" s="791"/>
      <c r="L114" s="811"/>
      <c r="M114" s="791">
        <f t="shared" si="1"/>
        <v>0</v>
      </c>
      <c r="N114" s="811"/>
      <c r="O114" s="791">
        <f t="shared" si="2"/>
        <v>0</v>
      </c>
      <c r="P114" s="791">
        <f t="shared" si="3"/>
        <v>0</v>
      </c>
    </row>
    <row r="115" spans="3:16">
      <c r="C115" s="787" t="str">
        <f>IF(D94="","-",+C114+1)</f>
        <v>-</v>
      </c>
      <c r="D115" s="735">
        <f t="shared" si="4"/>
        <v>0</v>
      </c>
      <c r="E115" s="788">
        <f t="shared" si="6"/>
        <v>0</v>
      </c>
      <c r="F115" s="788">
        <f t="shared" si="0"/>
        <v>0</v>
      </c>
      <c r="G115" s="735">
        <f t="shared" si="5"/>
        <v>0</v>
      </c>
      <c r="H115" s="793">
        <f>+J95*G115+E115</f>
        <v>0</v>
      </c>
      <c r="I115" s="794">
        <f>+J96*G115+E115</f>
        <v>0</v>
      </c>
      <c r="J115" s="791">
        <f t="shared" si="7"/>
        <v>0</v>
      </c>
      <c r="K115" s="791"/>
      <c r="L115" s="811"/>
      <c r="M115" s="791">
        <f t="shared" si="1"/>
        <v>0</v>
      </c>
      <c r="N115" s="811"/>
      <c r="O115" s="791">
        <f t="shared" si="2"/>
        <v>0</v>
      </c>
      <c r="P115" s="791">
        <f t="shared" si="3"/>
        <v>0</v>
      </c>
    </row>
    <row r="116" spans="3:16">
      <c r="C116" s="787" t="str">
        <f>IF(D94="","-",+C115+1)</f>
        <v>-</v>
      </c>
      <c r="D116" s="735">
        <f t="shared" si="4"/>
        <v>0</v>
      </c>
      <c r="E116" s="788">
        <f t="shared" si="6"/>
        <v>0</v>
      </c>
      <c r="F116" s="788">
        <f t="shared" si="0"/>
        <v>0</v>
      </c>
      <c r="G116" s="735">
        <f t="shared" si="5"/>
        <v>0</v>
      </c>
      <c r="H116" s="793">
        <f>+J95*G116+E116</f>
        <v>0</v>
      </c>
      <c r="I116" s="794">
        <f>+J96*G116+E116</f>
        <v>0</v>
      </c>
      <c r="J116" s="791">
        <f t="shared" si="7"/>
        <v>0</v>
      </c>
      <c r="K116" s="791"/>
      <c r="L116" s="811"/>
      <c r="M116" s="791">
        <f t="shared" si="1"/>
        <v>0</v>
      </c>
      <c r="N116" s="811"/>
      <c r="O116" s="791">
        <f t="shared" si="2"/>
        <v>0</v>
      </c>
      <c r="P116" s="791">
        <f t="shared" si="3"/>
        <v>0</v>
      </c>
    </row>
    <row r="117" spans="3:16">
      <c r="C117" s="787" t="str">
        <f>IF(D94="","-",+C116+1)</f>
        <v>-</v>
      </c>
      <c r="D117" s="735">
        <f t="shared" si="4"/>
        <v>0</v>
      </c>
      <c r="E117" s="788">
        <f t="shared" si="6"/>
        <v>0</v>
      </c>
      <c r="F117" s="788">
        <f t="shared" si="0"/>
        <v>0</v>
      </c>
      <c r="G117" s="735">
        <f t="shared" si="5"/>
        <v>0</v>
      </c>
      <c r="H117" s="793">
        <f>+J95*G117+E117</f>
        <v>0</v>
      </c>
      <c r="I117" s="794">
        <f>+J96*G117+E117</f>
        <v>0</v>
      </c>
      <c r="J117" s="791">
        <f t="shared" si="7"/>
        <v>0</v>
      </c>
      <c r="K117" s="791"/>
      <c r="L117" s="811"/>
      <c r="M117" s="791">
        <f t="shared" si="1"/>
        <v>0</v>
      </c>
      <c r="N117" s="811"/>
      <c r="O117" s="791">
        <f t="shared" si="2"/>
        <v>0</v>
      </c>
      <c r="P117" s="791">
        <f t="shared" si="3"/>
        <v>0</v>
      </c>
    </row>
    <row r="118" spans="3:16">
      <c r="C118" s="787" t="str">
        <f>IF(D94="","-",+C117+1)</f>
        <v>-</v>
      </c>
      <c r="D118" s="735">
        <f t="shared" si="4"/>
        <v>0</v>
      </c>
      <c r="E118" s="788">
        <f t="shared" si="6"/>
        <v>0</v>
      </c>
      <c r="F118" s="788">
        <f t="shared" si="0"/>
        <v>0</v>
      </c>
      <c r="G118" s="735">
        <f t="shared" si="5"/>
        <v>0</v>
      </c>
      <c r="H118" s="793">
        <f>+J95*G118+E118</f>
        <v>0</v>
      </c>
      <c r="I118" s="794">
        <f>+J96*G118+E118</f>
        <v>0</v>
      </c>
      <c r="J118" s="791">
        <f t="shared" si="7"/>
        <v>0</v>
      </c>
      <c r="K118" s="791"/>
      <c r="L118" s="811"/>
      <c r="M118" s="791">
        <f t="shared" si="1"/>
        <v>0</v>
      </c>
      <c r="N118" s="811"/>
      <c r="O118" s="791">
        <f t="shared" si="2"/>
        <v>0</v>
      </c>
      <c r="P118" s="791">
        <f t="shared" si="3"/>
        <v>0</v>
      </c>
    </row>
    <row r="119" spans="3:16">
      <c r="C119" s="787" t="str">
        <f>IF(D94="","-",+C118+1)</f>
        <v>-</v>
      </c>
      <c r="D119" s="735">
        <f t="shared" si="4"/>
        <v>0</v>
      </c>
      <c r="E119" s="788">
        <f t="shared" si="6"/>
        <v>0</v>
      </c>
      <c r="F119" s="788">
        <f t="shared" si="0"/>
        <v>0</v>
      </c>
      <c r="G119" s="735">
        <f t="shared" si="5"/>
        <v>0</v>
      </c>
      <c r="H119" s="793">
        <f>+J95*G119+E119</f>
        <v>0</v>
      </c>
      <c r="I119" s="794">
        <f>+J96*G119+E119</f>
        <v>0</v>
      </c>
      <c r="J119" s="791">
        <f t="shared" si="7"/>
        <v>0</v>
      </c>
      <c r="K119" s="791"/>
      <c r="L119" s="811"/>
      <c r="M119" s="791">
        <f t="shared" si="1"/>
        <v>0</v>
      </c>
      <c r="N119" s="811"/>
      <c r="O119" s="791">
        <f t="shared" si="2"/>
        <v>0</v>
      </c>
      <c r="P119" s="791">
        <f t="shared" si="3"/>
        <v>0</v>
      </c>
    </row>
    <row r="120" spans="3:16">
      <c r="C120" s="787" t="str">
        <f>IF(D94="","-",+C119+1)</f>
        <v>-</v>
      </c>
      <c r="D120" s="735">
        <f t="shared" si="4"/>
        <v>0</v>
      </c>
      <c r="E120" s="788">
        <f t="shared" si="6"/>
        <v>0</v>
      </c>
      <c r="F120" s="788">
        <f t="shared" si="0"/>
        <v>0</v>
      </c>
      <c r="G120" s="735">
        <f t="shared" si="5"/>
        <v>0</v>
      </c>
      <c r="H120" s="793">
        <f>+J95*G120+E120</f>
        <v>0</v>
      </c>
      <c r="I120" s="794">
        <f>+J96*G120+E120</f>
        <v>0</v>
      </c>
      <c r="J120" s="791">
        <f t="shared" si="7"/>
        <v>0</v>
      </c>
      <c r="K120" s="791"/>
      <c r="L120" s="811"/>
      <c r="M120" s="791">
        <f t="shared" si="1"/>
        <v>0</v>
      </c>
      <c r="N120" s="811"/>
      <c r="O120" s="791">
        <f t="shared" si="2"/>
        <v>0</v>
      </c>
      <c r="P120" s="791">
        <f t="shared" si="3"/>
        <v>0</v>
      </c>
    </row>
    <row r="121" spans="3:16">
      <c r="C121" s="787" t="str">
        <f>IF(D94="","-",+C120+1)</f>
        <v>-</v>
      </c>
      <c r="D121" s="735">
        <f t="shared" si="4"/>
        <v>0</v>
      </c>
      <c r="E121" s="788">
        <f t="shared" si="6"/>
        <v>0</v>
      </c>
      <c r="F121" s="788">
        <f t="shared" si="0"/>
        <v>0</v>
      </c>
      <c r="G121" s="735">
        <f t="shared" si="5"/>
        <v>0</v>
      </c>
      <c r="H121" s="793">
        <f>+J95*G121+E121</f>
        <v>0</v>
      </c>
      <c r="I121" s="794">
        <f>+J96*G121+E121</f>
        <v>0</v>
      </c>
      <c r="J121" s="791">
        <f t="shared" si="7"/>
        <v>0</v>
      </c>
      <c r="K121" s="791"/>
      <c r="L121" s="811"/>
      <c r="M121" s="791">
        <f t="shared" si="1"/>
        <v>0</v>
      </c>
      <c r="N121" s="811"/>
      <c r="O121" s="791">
        <f t="shared" si="2"/>
        <v>0</v>
      </c>
      <c r="P121" s="791">
        <f t="shared" si="3"/>
        <v>0</v>
      </c>
    </row>
    <row r="122" spans="3:16">
      <c r="C122" s="787" t="str">
        <f>IF(D94="","-",+C121+1)</f>
        <v>-</v>
      </c>
      <c r="D122" s="735">
        <f t="shared" si="4"/>
        <v>0</v>
      </c>
      <c r="E122" s="788">
        <f t="shared" si="6"/>
        <v>0</v>
      </c>
      <c r="F122" s="788">
        <f t="shared" si="0"/>
        <v>0</v>
      </c>
      <c r="G122" s="735">
        <f t="shared" si="5"/>
        <v>0</v>
      </c>
      <c r="H122" s="793">
        <f>+J95*G122+E122</f>
        <v>0</v>
      </c>
      <c r="I122" s="794">
        <f>+J96*G122+E122</f>
        <v>0</v>
      </c>
      <c r="J122" s="791">
        <f t="shared" si="7"/>
        <v>0</v>
      </c>
      <c r="K122" s="791"/>
      <c r="L122" s="811"/>
      <c r="M122" s="791">
        <f t="shared" si="1"/>
        <v>0</v>
      </c>
      <c r="N122" s="811"/>
      <c r="O122" s="791">
        <f t="shared" si="2"/>
        <v>0</v>
      </c>
      <c r="P122" s="791">
        <f t="shared" si="3"/>
        <v>0</v>
      </c>
    </row>
    <row r="123" spans="3:16">
      <c r="C123" s="787" t="str">
        <f>IF(D94="","-",+C122+1)</f>
        <v>-</v>
      </c>
      <c r="D123" s="735">
        <f t="shared" si="4"/>
        <v>0</v>
      </c>
      <c r="E123" s="788">
        <f t="shared" si="6"/>
        <v>0</v>
      </c>
      <c r="F123" s="788">
        <f t="shared" si="0"/>
        <v>0</v>
      </c>
      <c r="G123" s="735">
        <f t="shared" si="5"/>
        <v>0</v>
      </c>
      <c r="H123" s="793">
        <f>+J95*G123+E123</f>
        <v>0</v>
      </c>
      <c r="I123" s="794">
        <f>+J96*G123+E123</f>
        <v>0</v>
      </c>
      <c r="J123" s="791">
        <f t="shared" si="7"/>
        <v>0</v>
      </c>
      <c r="K123" s="791"/>
      <c r="L123" s="811"/>
      <c r="M123" s="791">
        <f t="shared" si="1"/>
        <v>0</v>
      </c>
      <c r="N123" s="811"/>
      <c r="O123" s="791">
        <f t="shared" si="2"/>
        <v>0</v>
      </c>
      <c r="P123" s="791">
        <f t="shared" si="3"/>
        <v>0</v>
      </c>
    </row>
    <row r="124" spans="3:16">
      <c r="C124" s="787" t="str">
        <f>IF(D94="","-",+C123+1)</f>
        <v>-</v>
      </c>
      <c r="D124" s="735">
        <f t="shared" si="4"/>
        <v>0</v>
      </c>
      <c r="E124" s="788">
        <f t="shared" si="6"/>
        <v>0</v>
      </c>
      <c r="F124" s="788">
        <f t="shared" si="0"/>
        <v>0</v>
      </c>
      <c r="G124" s="735">
        <f t="shared" si="5"/>
        <v>0</v>
      </c>
      <c r="H124" s="793">
        <f>+J95*G124+E124</f>
        <v>0</v>
      </c>
      <c r="I124" s="794">
        <f>+J96*G124+E124</f>
        <v>0</v>
      </c>
      <c r="J124" s="791">
        <f t="shared" si="7"/>
        <v>0</v>
      </c>
      <c r="K124" s="791"/>
      <c r="L124" s="811"/>
      <c r="M124" s="791">
        <f t="shared" si="1"/>
        <v>0</v>
      </c>
      <c r="N124" s="811"/>
      <c r="O124" s="791">
        <f t="shared" si="2"/>
        <v>0</v>
      </c>
      <c r="P124" s="791">
        <f t="shared" si="3"/>
        <v>0</v>
      </c>
    </row>
    <row r="125" spans="3:16">
      <c r="C125" s="787" t="str">
        <f>IF(D94="","-",+C124+1)</f>
        <v>-</v>
      </c>
      <c r="D125" s="735">
        <f t="shared" si="4"/>
        <v>0</v>
      </c>
      <c r="E125" s="788">
        <f t="shared" si="6"/>
        <v>0</v>
      </c>
      <c r="F125" s="788">
        <f t="shared" si="0"/>
        <v>0</v>
      </c>
      <c r="G125" s="735">
        <f t="shared" si="5"/>
        <v>0</v>
      </c>
      <c r="H125" s="793">
        <f>+J95*G125+E125</f>
        <v>0</v>
      </c>
      <c r="I125" s="794">
        <f>+J96*G125+E125</f>
        <v>0</v>
      </c>
      <c r="J125" s="791">
        <f t="shared" si="7"/>
        <v>0</v>
      </c>
      <c r="K125" s="791"/>
      <c r="L125" s="811"/>
      <c r="M125" s="791">
        <f t="shared" si="1"/>
        <v>0</v>
      </c>
      <c r="N125" s="811"/>
      <c r="O125" s="791">
        <f t="shared" si="2"/>
        <v>0</v>
      </c>
      <c r="P125" s="791">
        <f t="shared" si="3"/>
        <v>0</v>
      </c>
    </row>
    <row r="126" spans="3:16">
      <c r="C126" s="787" t="str">
        <f>IF(D94="","-",+C125+1)</f>
        <v>-</v>
      </c>
      <c r="D126" s="735">
        <f t="shared" si="4"/>
        <v>0</v>
      </c>
      <c r="E126" s="788">
        <f t="shared" si="6"/>
        <v>0</v>
      </c>
      <c r="F126" s="788">
        <f t="shared" si="0"/>
        <v>0</v>
      </c>
      <c r="G126" s="735">
        <f t="shared" si="5"/>
        <v>0</v>
      </c>
      <c r="H126" s="793">
        <f>+J95*G126+E126</f>
        <v>0</v>
      </c>
      <c r="I126" s="794">
        <f>+J96*G126+E126</f>
        <v>0</v>
      </c>
      <c r="J126" s="791">
        <f t="shared" si="7"/>
        <v>0</v>
      </c>
      <c r="K126" s="791"/>
      <c r="L126" s="811"/>
      <c r="M126" s="791">
        <f t="shared" si="1"/>
        <v>0</v>
      </c>
      <c r="N126" s="811"/>
      <c r="O126" s="791">
        <f t="shared" si="2"/>
        <v>0</v>
      </c>
      <c r="P126" s="791">
        <f t="shared" si="3"/>
        <v>0</v>
      </c>
    </row>
    <row r="127" spans="3:16">
      <c r="C127" s="787" t="str">
        <f>IF(D94="","-",+C126+1)</f>
        <v>-</v>
      </c>
      <c r="D127" s="735">
        <f t="shared" si="4"/>
        <v>0</v>
      </c>
      <c r="E127" s="788">
        <f t="shared" si="6"/>
        <v>0</v>
      </c>
      <c r="F127" s="788">
        <f t="shared" si="0"/>
        <v>0</v>
      </c>
      <c r="G127" s="735">
        <f t="shared" si="5"/>
        <v>0</v>
      </c>
      <c r="H127" s="793">
        <f>+J95*G127+E127</f>
        <v>0</v>
      </c>
      <c r="I127" s="794">
        <f>+J96*G127+E127</f>
        <v>0</v>
      </c>
      <c r="J127" s="791">
        <f t="shared" si="7"/>
        <v>0</v>
      </c>
      <c r="K127" s="791"/>
      <c r="L127" s="811"/>
      <c r="M127" s="791">
        <f t="shared" si="1"/>
        <v>0</v>
      </c>
      <c r="N127" s="811"/>
      <c r="O127" s="791">
        <f t="shared" si="2"/>
        <v>0</v>
      </c>
      <c r="P127" s="791">
        <f t="shared" si="3"/>
        <v>0</v>
      </c>
    </row>
    <row r="128" spans="3:16">
      <c r="C128" s="787" t="str">
        <f>IF(D94="","-",+C127+1)</f>
        <v>-</v>
      </c>
      <c r="D128" s="735">
        <f t="shared" si="4"/>
        <v>0</v>
      </c>
      <c r="E128" s="788">
        <f t="shared" si="6"/>
        <v>0</v>
      </c>
      <c r="F128" s="788">
        <f t="shared" si="0"/>
        <v>0</v>
      </c>
      <c r="G128" s="735">
        <f t="shared" si="5"/>
        <v>0</v>
      </c>
      <c r="H128" s="793">
        <f>+J95*G128+E128</f>
        <v>0</v>
      </c>
      <c r="I128" s="794">
        <f>+J96*G128+E128</f>
        <v>0</v>
      </c>
      <c r="J128" s="791">
        <f t="shared" si="7"/>
        <v>0</v>
      </c>
      <c r="K128" s="791"/>
      <c r="L128" s="811"/>
      <c r="M128" s="791">
        <f t="shared" si="1"/>
        <v>0</v>
      </c>
      <c r="N128" s="811"/>
      <c r="O128" s="791">
        <f t="shared" si="2"/>
        <v>0</v>
      </c>
      <c r="P128" s="791">
        <f t="shared" si="3"/>
        <v>0</v>
      </c>
    </row>
    <row r="129" spans="3:16">
      <c r="C129" s="787" t="str">
        <f>IF(D94="","-",+C128+1)</f>
        <v>-</v>
      </c>
      <c r="D129" s="735">
        <f t="shared" si="4"/>
        <v>0</v>
      </c>
      <c r="E129" s="788">
        <f t="shared" si="6"/>
        <v>0</v>
      </c>
      <c r="F129" s="788">
        <f t="shared" si="0"/>
        <v>0</v>
      </c>
      <c r="G129" s="735">
        <f t="shared" si="5"/>
        <v>0</v>
      </c>
      <c r="H129" s="793">
        <f>+J95*G129+E129</f>
        <v>0</v>
      </c>
      <c r="I129" s="794">
        <f>+J96*G129+E129</f>
        <v>0</v>
      </c>
      <c r="J129" s="791">
        <f t="shared" si="7"/>
        <v>0</v>
      </c>
      <c r="K129" s="791"/>
      <c r="L129" s="811"/>
      <c r="M129" s="791">
        <f t="shared" si="1"/>
        <v>0</v>
      </c>
      <c r="N129" s="811"/>
      <c r="O129" s="791">
        <f t="shared" si="2"/>
        <v>0</v>
      </c>
      <c r="P129" s="791">
        <f t="shared" si="3"/>
        <v>0</v>
      </c>
    </row>
    <row r="130" spans="3:16">
      <c r="C130" s="787" t="str">
        <f>IF(D94="","-",+C129+1)</f>
        <v>-</v>
      </c>
      <c r="D130" s="735">
        <f t="shared" si="4"/>
        <v>0</v>
      </c>
      <c r="E130" s="788">
        <f t="shared" si="6"/>
        <v>0</v>
      </c>
      <c r="F130" s="788">
        <f t="shared" si="0"/>
        <v>0</v>
      </c>
      <c r="G130" s="735">
        <f t="shared" si="5"/>
        <v>0</v>
      </c>
      <c r="H130" s="793">
        <f>+J95*G130+E130</f>
        <v>0</v>
      </c>
      <c r="I130" s="794">
        <f>+J96*G130+E130</f>
        <v>0</v>
      </c>
      <c r="J130" s="791">
        <f t="shared" si="7"/>
        <v>0</v>
      </c>
      <c r="K130" s="791"/>
      <c r="L130" s="811"/>
      <c r="M130" s="791">
        <f t="shared" si="1"/>
        <v>0</v>
      </c>
      <c r="N130" s="811"/>
      <c r="O130" s="791">
        <f t="shared" si="2"/>
        <v>0</v>
      </c>
      <c r="P130" s="791">
        <f t="shared" si="3"/>
        <v>0</v>
      </c>
    </row>
    <row r="131" spans="3:16">
      <c r="C131" s="787" t="str">
        <f>IF(D94="","-",+C130+1)</f>
        <v>-</v>
      </c>
      <c r="D131" s="735">
        <f t="shared" si="4"/>
        <v>0</v>
      </c>
      <c r="E131" s="788">
        <f t="shared" si="6"/>
        <v>0</v>
      </c>
      <c r="F131" s="788">
        <f t="shared" si="0"/>
        <v>0</v>
      </c>
      <c r="G131" s="735">
        <f t="shared" si="5"/>
        <v>0</v>
      </c>
      <c r="H131" s="793">
        <f>+J95*G131+E131</f>
        <v>0</v>
      </c>
      <c r="I131" s="794">
        <f>+J96*G131+E131</f>
        <v>0</v>
      </c>
      <c r="J131" s="791">
        <f t="shared" si="7"/>
        <v>0</v>
      </c>
      <c r="K131" s="791"/>
      <c r="L131" s="811"/>
      <c r="M131" s="791">
        <f t="shared" si="1"/>
        <v>0</v>
      </c>
      <c r="N131" s="811"/>
      <c r="O131" s="791">
        <f t="shared" si="2"/>
        <v>0</v>
      </c>
      <c r="P131" s="791">
        <f t="shared" si="3"/>
        <v>0</v>
      </c>
    </row>
    <row r="132" spans="3:16">
      <c r="C132" s="787" t="str">
        <f>IF(D94="","-",+C131+1)</f>
        <v>-</v>
      </c>
      <c r="D132" s="735">
        <f t="shared" si="4"/>
        <v>0</v>
      </c>
      <c r="E132" s="788">
        <f t="shared" si="6"/>
        <v>0</v>
      </c>
      <c r="F132" s="788">
        <f t="shared" si="0"/>
        <v>0</v>
      </c>
      <c r="G132" s="735">
        <f t="shared" si="5"/>
        <v>0</v>
      </c>
      <c r="H132" s="793">
        <f>+J95*G132+E132</f>
        <v>0</v>
      </c>
      <c r="I132" s="794">
        <f>+J96*G132+E132</f>
        <v>0</v>
      </c>
      <c r="J132" s="791">
        <f t="shared" si="7"/>
        <v>0</v>
      </c>
      <c r="K132" s="791"/>
      <c r="L132" s="811"/>
      <c r="M132" s="791">
        <f t="shared" si="1"/>
        <v>0</v>
      </c>
      <c r="N132" s="811"/>
      <c r="O132" s="791">
        <f t="shared" si="2"/>
        <v>0</v>
      </c>
      <c r="P132" s="791">
        <f t="shared" si="3"/>
        <v>0</v>
      </c>
    </row>
    <row r="133" spans="3:16">
      <c r="C133" s="787" t="str">
        <f>IF(D94="","-",+C132+1)</f>
        <v>-</v>
      </c>
      <c r="D133" s="735">
        <f t="shared" si="4"/>
        <v>0</v>
      </c>
      <c r="E133" s="788">
        <f t="shared" si="6"/>
        <v>0</v>
      </c>
      <c r="F133" s="788">
        <f t="shared" si="0"/>
        <v>0</v>
      </c>
      <c r="G133" s="735">
        <f t="shared" si="5"/>
        <v>0</v>
      </c>
      <c r="H133" s="793">
        <f>+J95*G133+E133</f>
        <v>0</v>
      </c>
      <c r="I133" s="794">
        <f>+J96*G133+E133</f>
        <v>0</v>
      </c>
      <c r="J133" s="791">
        <f t="shared" si="7"/>
        <v>0</v>
      </c>
      <c r="K133" s="791"/>
      <c r="L133" s="811"/>
      <c r="M133" s="791">
        <f t="shared" si="1"/>
        <v>0</v>
      </c>
      <c r="N133" s="811"/>
      <c r="O133" s="791">
        <f t="shared" si="2"/>
        <v>0</v>
      </c>
      <c r="P133" s="791">
        <f t="shared" si="3"/>
        <v>0</v>
      </c>
    </row>
    <row r="134" spans="3:16">
      <c r="C134" s="787" t="str">
        <f>IF(D94="","-",+C133+1)</f>
        <v>-</v>
      </c>
      <c r="D134" s="735">
        <f t="shared" si="4"/>
        <v>0</v>
      </c>
      <c r="E134" s="788">
        <f t="shared" si="6"/>
        <v>0</v>
      </c>
      <c r="F134" s="788">
        <f t="shared" si="0"/>
        <v>0</v>
      </c>
      <c r="G134" s="735">
        <f t="shared" si="5"/>
        <v>0</v>
      </c>
      <c r="H134" s="793">
        <f>+J95*G134+E134</f>
        <v>0</v>
      </c>
      <c r="I134" s="794">
        <f>+J96*G134+E134</f>
        <v>0</v>
      </c>
      <c r="J134" s="791">
        <f t="shared" si="7"/>
        <v>0</v>
      </c>
      <c r="K134" s="791"/>
      <c r="L134" s="811"/>
      <c r="M134" s="791">
        <f t="shared" si="1"/>
        <v>0</v>
      </c>
      <c r="N134" s="811"/>
      <c r="O134" s="791">
        <f t="shared" si="2"/>
        <v>0</v>
      </c>
      <c r="P134" s="791">
        <f t="shared" si="3"/>
        <v>0</v>
      </c>
    </row>
    <row r="135" spans="3:16">
      <c r="C135" s="787" t="str">
        <f>IF(D94="","-",+C134+1)</f>
        <v>-</v>
      </c>
      <c r="D135" s="735">
        <f t="shared" si="4"/>
        <v>0</v>
      </c>
      <c r="E135" s="788">
        <f t="shared" si="6"/>
        <v>0</v>
      </c>
      <c r="F135" s="788">
        <f t="shared" si="0"/>
        <v>0</v>
      </c>
      <c r="G135" s="735">
        <f t="shared" si="5"/>
        <v>0</v>
      </c>
      <c r="H135" s="793">
        <f>+J95*G135+E135</f>
        <v>0</v>
      </c>
      <c r="I135" s="794">
        <f>+J96*G135+E135</f>
        <v>0</v>
      </c>
      <c r="J135" s="791">
        <f t="shared" si="7"/>
        <v>0</v>
      </c>
      <c r="K135" s="791"/>
      <c r="L135" s="811"/>
      <c r="M135" s="791">
        <f t="shared" si="1"/>
        <v>0</v>
      </c>
      <c r="N135" s="811"/>
      <c r="O135" s="791">
        <f t="shared" si="2"/>
        <v>0</v>
      </c>
      <c r="P135" s="791">
        <f t="shared" si="3"/>
        <v>0</v>
      </c>
    </row>
    <row r="136" spans="3:16">
      <c r="C136" s="787" t="str">
        <f>IF(D94="","-",+C135+1)</f>
        <v>-</v>
      </c>
      <c r="D136" s="735">
        <f t="shared" si="4"/>
        <v>0</v>
      </c>
      <c r="E136" s="788">
        <f t="shared" si="6"/>
        <v>0</v>
      </c>
      <c r="F136" s="788">
        <f t="shared" si="0"/>
        <v>0</v>
      </c>
      <c r="G136" s="735">
        <f t="shared" si="5"/>
        <v>0</v>
      </c>
      <c r="H136" s="793">
        <f>+J95*G136+E136</f>
        <v>0</v>
      </c>
      <c r="I136" s="794">
        <f>+J96*G136+E136</f>
        <v>0</v>
      </c>
      <c r="J136" s="791">
        <f t="shared" si="7"/>
        <v>0</v>
      </c>
      <c r="K136" s="791"/>
      <c r="L136" s="811"/>
      <c r="M136" s="791">
        <f t="shared" si="1"/>
        <v>0</v>
      </c>
      <c r="N136" s="811"/>
      <c r="O136" s="791">
        <f t="shared" si="2"/>
        <v>0</v>
      </c>
      <c r="P136" s="791">
        <f t="shared" si="3"/>
        <v>0</v>
      </c>
    </row>
    <row r="137" spans="3:16">
      <c r="C137" s="787" t="str">
        <f>IF(D94="","-",+C136+1)</f>
        <v>-</v>
      </c>
      <c r="D137" s="735">
        <f t="shared" si="4"/>
        <v>0</v>
      </c>
      <c r="E137" s="788">
        <f t="shared" si="6"/>
        <v>0</v>
      </c>
      <c r="F137" s="788">
        <f t="shared" si="0"/>
        <v>0</v>
      </c>
      <c r="G137" s="735">
        <f t="shared" si="5"/>
        <v>0</v>
      </c>
      <c r="H137" s="793">
        <f>+J95*G137+E137</f>
        <v>0</v>
      </c>
      <c r="I137" s="794">
        <f>+J96*G137+E137</f>
        <v>0</v>
      </c>
      <c r="J137" s="791">
        <f t="shared" si="7"/>
        <v>0</v>
      </c>
      <c r="K137" s="791"/>
      <c r="L137" s="811"/>
      <c r="M137" s="791">
        <f t="shared" si="1"/>
        <v>0</v>
      </c>
      <c r="N137" s="811"/>
      <c r="O137" s="791">
        <f t="shared" si="2"/>
        <v>0</v>
      </c>
      <c r="P137" s="791">
        <f t="shared" si="3"/>
        <v>0</v>
      </c>
    </row>
    <row r="138" spans="3:16">
      <c r="C138" s="787" t="str">
        <f>IF(D94="","-",+C137+1)</f>
        <v>-</v>
      </c>
      <c r="D138" s="735">
        <f t="shared" si="4"/>
        <v>0</v>
      </c>
      <c r="E138" s="788">
        <f t="shared" si="6"/>
        <v>0</v>
      </c>
      <c r="F138" s="788">
        <f t="shared" si="0"/>
        <v>0</v>
      </c>
      <c r="G138" s="735">
        <f t="shared" si="5"/>
        <v>0</v>
      </c>
      <c r="H138" s="793">
        <f>+J95*G138+E138</f>
        <v>0</v>
      </c>
      <c r="I138" s="794">
        <f>+J96*G138+E138</f>
        <v>0</v>
      </c>
      <c r="J138" s="791">
        <f t="shared" si="7"/>
        <v>0</v>
      </c>
      <c r="K138" s="791"/>
      <c r="L138" s="811"/>
      <c r="M138" s="791">
        <f t="shared" si="1"/>
        <v>0</v>
      </c>
      <c r="N138" s="811"/>
      <c r="O138" s="791">
        <f t="shared" si="2"/>
        <v>0</v>
      </c>
      <c r="P138" s="791">
        <f t="shared" si="3"/>
        <v>0</v>
      </c>
    </row>
    <row r="139" spans="3:16">
      <c r="C139" s="787" t="str">
        <f>IF(D94="","-",+C138+1)</f>
        <v>-</v>
      </c>
      <c r="D139" s="735">
        <f t="shared" si="4"/>
        <v>0</v>
      </c>
      <c r="E139" s="788">
        <f t="shared" si="6"/>
        <v>0</v>
      </c>
      <c r="F139" s="788">
        <f t="shared" si="0"/>
        <v>0</v>
      </c>
      <c r="G139" s="735">
        <f t="shared" si="5"/>
        <v>0</v>
      </c>
      <c r="H139" s="793">
        <f>+J95*G139+E139</f>
        <v>0</v>
      </c>
      <c r="I139" s="794">
        <f>+J96*G139+E139</f>
        <v>0</v>
      </c>
      <c r="J139" s="791">
        <f t="shared" si="7"/>
        <v>0</v>
      </c>
      <c r="K139" s="791"/>
      <c r="L139" s="811"/>
      <c r="M139" s="791">
        <f t="shared" si="1"/>
        <v>0</v>
      </c>
      <c r="N139" s="811"/>
      <c r="O139" s="791">
        <f t="shared" si="2"/>
        <v>0</v>
      </c>
      <c r="P139" s="791">
        <f t="shared" si="3"/>
        <v>0</v>
      </c>
    </row>
    <row r="140" spans="3:16">
      <c r="C140" s="787" t="str">
        <f>IF(D94="","-",+C139+1)</f>
        <v>-</v>
      </c>
      <c r="D140" s="735">
        <f t="shared" si="4"/>
        <v>0</v>
      </c>
      <c r="E140" s="788">
        <f t="shared" si="6"/>
        <v>0</v>
      </c>
      <c r="F140" s="788">
        <f t="shared" si="0"/>
        <v>0</v>
      </c>
      <c r="G140" s="735">
        <f t="shared" si="5"/>
        <v>0</v>
      </c>
      <c r="H140" s="793">
        <f>+J95*G140+E140</f>
        <v>0</v>
      </c>
      <c r="I140" s="794">
        <f>+J96*G140+E140</f>
        <v>0</v>
      </c>
      <c r="J140" s="791">
        <f t="shared" si="7"/>
        <v>0</v>
      </c>
      <c r="K140" s="791"/>
      <c r="L140" s="811"/>
      <c r="M140" s="791">
        <f t="shared" si="1"/>
        <v>0</v>
      </c>
      <c r="N140" s="811"/>
      <c r="O140" s="791">
        <f t="shared" si="2"/>
        <v>0</v>
      </c>
      <c r="P140" s="791">
        <f t="shared" si="3"/>
        <v>0</v>
      </c>
    </row>
    <row r="141" spans="3:16">
      <c r="C141" s="787" t="str">
        <f>IF(D94="","-",+C140+1)</f>
        <v>-</v>
      </c>
      <c r="D141" s="735">
        <f t="shared" si="4"/>
        <v>0</v>
      </c>
      <c r="E141" s="788">
        <f t="shared" si="6"/>
        <v>0</v>
      </c>
      <c r="F141" s="788">
        <f t="shared" si="0"/>
        <v>0</v>
      </c>
      <c r="G141" s="735">
        <f t="shared" si="5"/>
        <v>0</v>
      </c>
      <c r="H141" s="793">
        <f>+J95*G141+E141</f>
        <v>0</v>
      </c>
      <c r="I141" s="794">
        <f>+J96*G141+E141</f>
        <v>0</v>
      </c>
      <c r="J141" s="791">
        <f t="shared" si="7"/>
        <v>0</v>
      </c>
      <c r="K141" s="791"/>
      <c r="L141" s="811"/>
      <c r="M141" s="791">
        <f t="shared" si="1"/>
        <v>0</v>
      </c>
      <c r="N141" s="811"/>
      <c r="O141" s="791">
        <f t="shared" si="2"/>
        <v>0</v>
      </c>
      <c r="P141" s="791">
        <f t="shared" si="3"/>
        <v>0</v>
      </c>
    </row>
    <row r="142" spans="3:16">
      <c r="C142" s="787" t="str">
        <f>IF(D94="","-",+C141+1)</f>
        <v>-</v>
      </c>
      <c r="D142" s="735">
        <f t="shared" si="4"/>
        <v>0</v>
      </c>
      <c r="E142" s="788">
        <f t="shared" si="6"/>
        <v>0</v>
      </c>
      <c r="F142" s="788">
        <f t="shared" si="0"/>
        <v>0</v>
      </c>
      <c r="G142" s="735">
        <f t="shared" si="5"/>
        <v>0</v>
      </c>
      <c r="H142" s="793">
        <f>+J95*G142+E142</f>
        <v>0</v>
      </c>
      <c r="I142" s="794">
        <f>+J96*G142+E142</f>
        <v>0</v>
      </c>
      <c r="J142" s="791">
        <f t="shared" si="7"/>
        <v>0</v>
      </c>
      <c r="K142" s="791"/>
      <c r="L142" s="811"/>
      <c r="M142" s="791">
        <f t="shared" si="1"/>
        <v>0</v>
      </c>
      <c r="N142" s="811"/>
      <c r="O142" s="791">
        <f t="shared" si="2"/>
        <v>0</v>
      </c>
      <c r="P142" s="791">
        <f t="shared" si="3"/>
        <v>0</v>
      </c>
    </row>
    <row r="143" spans="3:16">
      <c r="C143" s="787" t="str">
        <f>IF(D94="","-",+C142+1)</f>
        <v>-</v>
      </c>
      <c r="D143" s="735">
        <f t="shared" si="4"/>
        <v>0</v>
      </c>
      <c r="E143" s="788">
        <f t="shared" si="6"/>
        <v>0</v>
      </c>
      <c r="F143" s="788">
        <f t="shared" si="0"/>
        <v>0</v>
      </c>
      <c r="G143" s="735">
        <f t="shared" si="5"/>
        <v>0</v>
      </c>
      <c r="H143" s="793">
        <f>+J95*G143+E143</f>
        <v>0</v>
      </c>
      <c r="I143" s="794">
        <f>+J96*G143+E143</f>
        <v>0</v>
      </c>
      <c r="J143" s="791">
        <f t="shared" si="7"/>
        <v>0</v>
      </c>
      <c r="K143" s="791"/>
      <c r="L143" s="811"/>
      <c r="M143" s="791">
        <f t="shared" si="1"/>
        <v>0</v>
      </c>
      <c r="N143" s="811"/>
      <c r="O143" s="791">
        <f t="shared" si="2"/>
        <v>0</v>
      </c>
      <c r="P143" s="791">
        <f t="shared" si="3"/>
        <v>0</v>
      </c>
    </row>
    <row r="144" spans="3:16">
      <c r="C144" s="787" t="str">
        <f>IF(D94="","-",+C143+1)</f>
        <v>-</v>
      </c>
      <c r="D144" s="735">
        <f t="shared" si="4"/>
        <v>0</v>
      </c>
      <c r="E144" s="788">
        <f t="shared" si="6"/>
        <v>0</v>
      </c>
      <c r="F144" s="788">
        <f t="shared" si="0"/>
        <v>0</v>
      </c>
      <c r="G144" s="735">
        <f t="shared" si="5"/>
        <v>0</v>
      </c>
      <c r="H144" s="793">
        <f>+J95*G144+E144</f>
        <v>0</v>
      </c>
      <c r="I144" s="794">
        <f>+J96*G144+E144</f>
        <v>0</v>
      </c>
      <c r="J144" s="791">
        <f t="shared" si="7"/>
        <v>0</v>
      </c>
      <c r="K144" s="791"/>
      <c r="L144" s="811"/>
      <c r="M144" s="791">
        <f t="shared" si="1"/>
        <v>0</v>
      </c>
      <c r="N144" s="811"/>
      <c r="O144" s="791">
        <f t="shared" si="2"/>
        <v>0</v>
      </c>
      <c r="P144" s="791">
        <f t="shared" si="3"/>
        <v>0</v>
      </c>
    </row>
    <row r="145" spans="3:16">
      <c r="C145" s="787" t="str">
        <f>IF(D94="","-",+C144+1)</f>
        <v>-</v>
      </c>
      <c r="D145" s="735">
        <f t="shared" si="4"/>
        <v>0</v>
      </c>
      <c r="E145" s="788">
        <f t="shared" si="6"/>
        <v>0</v>
      </c>
      <c r="F145" s="788">
        <f t="shared" si="0"/>
        <v>0</v>
      </c>
      <c r="G145" s="735">
        <f t="shared" si="5"/>
        <v>0</v>
      </c>
      <c r="H145" s="793">
        <f>+J95*G145+E145</f>
        <v>0</v>
      </c>
      <c r="I145" s="794">
        <f>+J96*G145+E145</f>
        <v>0</v>
      </c>
      <c r="J145" s="791">
        <f t="shared" si="7"/>
        <v>0</v>
      </c>
      <c r="K145" s="791"/>
      <c r="L145" s="811"/>
      <c r="M145" s="791">
        <f t="shared" si="1"/>
        <v>0</v>
      </c>
      <c r="N145" s="811"/>
      <c r="O145" s="791">
        <f t="shared" si="2"/>
        <v>0</v>
      </c>
      <c r="P145" s="791">
        <f t="shared" si="3"/>
        <v>0</v>
      </c>
    </row>
    <row r="146" spans="3:16">
      <c r="C146" s="787" t="str">
        <f>IF(D94="","-",+C145+1)</f>
        <v>-</v>
      </c>
      <c r="D146" s="735">
        <f t="shared" si="4"/>
        <v>0</v>
      </c>
      <c r="E146" s="788">
        <f t="shared" si="6"/>
        <v>0</v>
      </c>
      <c r="F146" s="788">
        <f t="shared" si="0"/>
        <v>0</v>
      </c>
      <c r="G146" s="735">
        <f t="shared" si="5"/>
        <v>0</v>
      </c>
      <c r="H146" s="793">
        <f>+J95*G146+E146</f>
        <v>0</v>
      </c>
      <c r="I146" s="794">
        <f>+J96*G146+E146</f>
        <v>0</v>
      </c>
      <c r="J146" s="791">
        <f t="shared" si="7"/>
        <v>0</v>
      </c>
      <c r="K146" s="791"/>
      <c r="L146" s="811"/>
      <c r="M146" s="791">
        <f t="shared" si="1"/>
        <v>0</v>
      </c>
      <c r="N146" s="811"/>
      <c r="O146" s="791">
        <f t="shared" si="2"/>
        <v>0</v>
      </c>
      <c r="P146" s="791">
        <f t="shared" si="3"/>
        <v>0</v>
      </c>
    </row>
    <row r="147" spans="3:16">
      <c r="C147" s="787" t="str">
        <f>IF(D94="","-",+C146+1)</f>
        <v>-</v>
      </c>
      <c r="D147" s="735">
        <f t="shared" si="4"/>
        <v>0</v>
      </c>
      <c r="E147" s="788">
        <f t="shared" si="6"/>
        <v>0</v>
      </c>
      <c r="F147" s="788">
        <f t="shared" si="0"/>
        <v>0</v>
      </c>
      <c r="G147" s="735">
        <f t="shared" si="5"/>
        <v>0</v>
      </c>
      <c r="H147" s="793">
        <f>+J95*G147+E147</f>
        <v>0</v>
      </c>
      <c r="I147" s="794">
        <f>+J96*G147+E147</f>
        <v>0</v>
      </c>
      <c r="J147" s="791">
        <f t="shared" si="7"/>
        <v>0</v>
      </c>
      <c r="K147" s="791"/>
      <c r="L147" s="811"/>
      <c r="M147" s="791">
        <f t="shared" si="1"/>
        <v>0</v>
      </c>
      <c r="N147" s="811"/>
      <c r="O147" s="791">
        <f t="shared" si="2"/>
        <v>0</v>
      </c>
      <c r="P147" s="791">
        <f t="shared" si="3"/>
        <v>0</v>
      </c>
    </row>
    <row r="148" spans="3:16">
      <c r="C148" s="787" t="str">
        <f>IF(D94="","-",+C147+1)</f>
        <v>-</v>
      </c>
      <c r="D148" s="735">
        <f t="shared" si="4"/>
        <v>0</v>
      </c>
      <c r="E148" s="788">
        <f t="shared" si="6"/>
        <v>0</v>
      </c>
      <c r="F148" s="788">
        <f t="shared" si="0"/>
        <v>0</v>
      </c>
      <c r="G148" s="735">
        <f t="shared" si="5"/>
        <v>0</v>
      </c>
      <c r="H148" s="793">
        <f>+J95*G148+E148</f>
        <v>0</v>
      </c>
      <c r="I148" s="794">
        <f>+J96*G148+E148</f>
        <v>0</v>
      </c>
      <c r="J148" s="791">
        <f t="shared" si="7"/>
        <v>0</v>
      </c>
      <c r="K148" s="791"/>
      <c r="L148" s="811"/>
      <c r="M148" s="791">
        <f t="shared" si="1"/>
        <v>0</v>
      </c>
      <c r="N148" s="811"/>
      <c r="O148" s="791">
        <f t="shared" si="2"/>
        <v>0</v>
      </c>
      <c r="P148" s="791">
        <f t="shared" si="3"/>
        <v>0</v>
      </c>
    </row>
    <row r="149" spans="3:16">
      <c r="C149" s="787" t="str">
        <f>IF(D94="","-",+C148+1)</f>
        <v>-</v>
      </c>
      <c r="D149" s="735">
        <f t="shared" si="4"/>
        <v>0</v>
      </c>
      <c r="E149" s="788">
        <f t="shared" si="6"/>
        <v>0</v>
      </c>
      <c r="F149" s="788">
        <f t="shared" si="0"/>
        <v>0</v>
      </c>
      <c r="G149" s="735">
        <f t="shared" si="5"/>
        <v>0</v>
      </c>
      <c r="H149" s="793">
        <f>+J95*G149+E149</f>
        <v>0</v>
      </c>
      <c r="I149" s="794">
        <f>+J96*G149+E149</f>
        <v>0</v>
      </c>
      <c r="J149" s="791">
        <f t="shared" si="7"/>
        <v>0</v>
      </c>
      <c r="K149" s="791"/>
      <c r="L149" s="811"/>
      <c r="M149" s="791">
        <f t="shared" si="1"/>
        <v>0</v>
      </c>
      <c r="N149" s="811"/>
      <c r="O149" s="791">
        <f t="shared" si="2"/>
        <v>0</v>
      </c>
      <c r="P149" s="791">
        <f t="shared" si="3"/>
        <v>0</v>
      </c>
    </row>
    <row r="150" spans="3:16">
      <c r="C150" s="787" t="str">
        <f>IF(D94="","-",+C149+1)</f>
        <v>-</v>
      </c>
      <c r="D150" s="735">
        <f t="shared" si="4"/>
        <v>0</v>
      </c>
      <c r="E150" s="788">
        <f t="shared" si="6"/>
        <v>0</v>
      </c>
      <c r="F150" s="788">
        <f t="shared" si="0"/>
        <v>0</v>
      </c>
      <c r="G150" s="735">
        <f t="shared" si="5"/>
        <v>0</v>
      </c>
      <c r="H150" s="793">
        <f>+J95*G150+E150</f>
        <v>0</v>
      </c>
      <c r="I150" s="794">
        <f>+J96*G150+E150</f>
        <v>0</v>
      </c>
      <c r="J150" s="791">
        <f t="shared" si="7"/>
        <v>0</v>
      </c>
      <c r="K150" s="791"/>
      <c r="L150" s="811"/>
      <c r="M150" s="791">
        <f t="shared" si="1"/>
        <v>0</v>
      </c>
      <c r="N150" s="811"/>
      <c r="O150" s="791">
        <f t="shared" si="2"/>
        <v>0</v>
      </c>
      <c r="P150" s="791">
        <f t="shared" si="3"/>
        <v>0</v>
      </c>
    </row>
    <row r="151" spans="3:16">
      <c r="C151" s="787" t="str">
        <f>IF(D94="","-",+C150+1)</f>
        <v>-</v>
      </c>
      <c r="D151" s="735">
        <f t="shared" si="4"/>
        <v>0</v>
      </c>
      <c r="E151" s="788">
        <f t="shared" si="6"/>
        <v>0</v>
      </c>
      <c r="F151" s="788">
        <f t="shared" si="0"/>
        <v>0</v>
      </c>
      <c r="G151" s="735">
        <f t="shared" si="5"/>
        <v>0</v>
      </c>
      <c r="H151" s="793">
        <f>+J95*G151+E151</f>
        <v>0</v>
      </c>
      <c r="I151" s="794">
        <f>+J96*G151+E151</f>
        <v>0</v>
      </c>
      <c r="J151" s="791">
        <f t="shared" si="7"/>
        <v>0</v>
      </c>
      <c r="K151" s="791"/>
      <c r="L151" s="811"/>
      <c r="M151" s="791">
        <f t="shared" si="1"/>
        <v>0</v>
      </c>
      <c r="N151" s="811"/>
      <c r="O151" s="791">
        <f t="shared" si="2"/>
        <v>0</v>
      </c>
      <c r="P151" s="791">
        <f t="shared" si="3"/>
        <v>0</v>
      </c>
    </row>
    <row r="152" spans="3:16">
      <c r="C152" s="787" t="str">
        <f>IF(D94="","-",+C151+1)</f>
        <v>-</v>
      </c>
      <c r="D152" s="735">
        <f t="shared" si="4"/>
        <v>0</v>
      </c>
      <c r="E152" s="788">
        <f t="shared" si="6"/>
        <v>0</v>
      </c>
      <c r="F152" s="788">
        <f t="shared" si="0"/>
        <v>0</v>
      </c>
      <c r="G152" s="735">
        <f t="shared" si="5"/>
        <v>0</v>
      </c>
      <c r="H152" s="793">
        <f>+J95*G152+E152</f>
        <v>0</v>
      </c>
      <c r="I152" s="794">
        <f>+J96*G152+E152</f>
        <v>0</v>
      </c>
      <c r="J152" s="791">
        <f t="shared" si="7"/>
        <v>0</v>
      </c>
      <c r="K152" s="791"/>
      <c r="L152" s="811"/>
      <c r="M152" s="791">
        <f t="shared" si="1"/>
        <v>0</v>
      </c>
      <c r="N152" s="811"/>
      <c r="O152" s="791">
        <f t="shared" si="2"/>
        <v>0</v>
      </c>
      <c r="P152" s="791">
        <f t="shared" si="3"/>
        <v>0</v>
      </c>
    </row>
    <row r="153" spans="3:16">
      <c r="C153" s="787" t="str">
        <f>IF(D94="","-",+C152+1)</f>
        <v>-</v>
      </c>
      <c r="D153" s="735">
        <f t="shared" si="4"/>
        <v>0</v>
      </c>
      <c r="E153" s="788">
        <f t="shared" si="6"/>
        <v>0</v>
      </c>
      <c r="F153" s="788">
        <f t="shared" si="0"/>
        <v>0</v>
      </c>
      <c r="G153" s="735">
        <f t="shared" si="5"/>
        <v>0</v>
      </c>
      <c r="H153" s="793">
        <f>+J95*G153+E153</f>
        <v>0</v>
      </c>
      <c r="I153" s="794">
        <f>+J96*G153+E153</f>
        <v>0</v>
      </c>
      <c r="J153" s="791">
        <f t="shared" si="7"/>
        <v>0</v>
      </c>
      <c r="K153" s="791"/>
      <c r="L153" s="811"/>
      <c r="M153" s="791">
        <f t="shared" si="1"/>
        <v>0</v>
      </c>
      <c r="N153" s="811"/>
      <c r="O153" s="791">
        <f t="shared" si="2"/>
        <v>0</v>
      </c>
      <c r="P153" s="791">
        <f t="shared" si="3"/>
        <v>0</v>
      </c>
    </row>
    <row r="154" spans="3:16">
      <c r="C154" s="787" t="str">
        <f>IF(D94="","-",+C153+1)</f>
        <v>-</v>
      </c>
      <c r="D154" s="735">
        <f>F153</f>
        <v>0</v>
      </c>
      <c r="E154" s="788">
        <f t="shared" si="6"/>
        <v>0</v>
      </c>
      <c r="F154" s="788">
        <f t="shared" si="0"/>
        <v>0</v>
      </c>
      <c r="G154" s="735">
        <f t="shared" si="5"/>
        <v>0</v>
      </c>
      <c r="H154" s="793">
        <f>+J95*G154+E154</f>
        <v>0</v>
      </c>
      <c r="I154" s="794">
        <f>+J96*G154+E154</f>
        <v>0</v>
      </c>
      <c r="J154" s="791">
        <f t="shared" si="7"/>
        <v>0</v>
      </c>
      <c r="K154" s="791"/>
      <c r="L154" s="811"/>
      <c r="M154" s="791">
        <f t="shared" si="1"/>
        <v>0</v>
      </c>
      <c r="N154" s="811"/>
      <c r="O154" s="791">
        <f t="shared" si="2"/>
        <v>0</v>
      </c>
      <c r="P154" s="791">
        <f t="shared" si="3"/>
        <v>0</v>
      </c>
    </row>
    <row r="155" spans="3:16">
      <c r="C155" s="787" t="str">
        <f>IF(D94="","-",+C154+1)</f>
        <v>-</v>
      </c>
      <c r="D155" s="735">
        <f t="shared" si="4"/>
        <v>0</v>
      </c>
      <c r="E155" s="788">
        <f t="shared" si="6"/>
        <v>0</v>
      </c>
      <c r="F155" s="788">
        <f t="shared" si="0"/>
        <v>0</v>
      </c>
      <c r="G155" s="735">
        <f t="shared" si="5"/>
        <v>0</v>
      </c>
      <c r="H155" s="793">
        <f>+J95*G155+E155</f>
        <v>0</v>
      </c>
      <c r="I155" s="794">
        <f>+J96*G155+E155</f>
        <v>0</v>
      </c>
      <c r="J155" s="791">
        <f t="shared" si="7"/>
        <v>0</v>
      </c>
      <c r="K155" s="791"/>
      <c r="L155" s="811"/>
      <c r="M155" s="791">
        <f t="shared" si="1"/>
        <v>0</v>
      </c>
      <c r="N155" s="811"/>
      <c r="O155" s="791">
        <f t="shared" si="2"/>
        <v>0</v>
      </c>
      <c r="P155" s="791">
        <f t="shared" si="3"/>
        <v>0</v>
      </c>
    </row>
    <row r="156" spans="3:16">
      <c r="C156" s="787" t="str">
        <f>IF(D94="","-",+C155+1)</f>
        <v>-</v>
      </c>
      <c r="D156" s="735">
        <f t="shared" si="4"/>
        <v>0</v>
      </c>
      <c r="E156" s="788">
        <f t="shared" si="6"/>
        <v>0</v>
      </c>
      <c r="F156" s="788">
        <f t="shared" si="0"/>
        <v>0</v>
      </c>
      <c r="G156" s="735">
        <f t="shared" si="5"/>
        <v>0</v>
      </c>
      <c r="H156" s="793">
        <f>+J95*G156+E156</f>
        <v>0</v>
      </c>
      <c r="I156" s="794">
        <f>+J96*G156+E156</f>
        <v>0</v>
      </c>
      <c r="J156" s="791">
        <f t="shared" si="7"/>
        <v>0</v>
      </c>
      <c r="K156" s="791"/>
      <c r="L156" s="811"/>
      <c r="M156" s="791">
        <f t="shared" si="1"/>
        <v>0</v>
      </c>
      <c r="N156" s="811"/>
      <c r="O156" s="791">
        <f t="shared" si="2"/>
        <v>0</v>
      </c>
      <c r="P156" s="791">
        <f t="shared" si="3"/>
        <v>0</v>
      </c>
    </row>
    <row r="157" spans="3:16">
      <c r="C157" s="787" t="str">
        <f>IF(D94="","-",+C156+1)</f>
        <v>-</v>
      </c>
      <c r="D157" s="735">
        <f t="shared" si="4"/>
        <v>0</v>
      </c>
      <c r="E157" s="788">
        <f t="shared" si="6"/>
        <v>0</v>
      </c>
      <c r="F157" s="788">
        <f t="shared" si="0"/>
        <v>0</v>
      </c>
      <c r="G157" s="735">
        <f t="shared" si="5"/>
        <v>0</v>
      </c>
      <c r="H157" s="793">
        <f>+J95*G157+E157</f>
        <v>0</v>
      </c>
      <c r="I157" s="794">
        <f>+J96*G157+E157</f>
        <v>0</v>
      </c>
      <c r="J157" s="791">
        <f t="shared" si="7"/>
        <v>0</v>
      </c>
      <c r="K157" s="791"/>
      <c r="L157" s="811"/>
      <c r="M157" s="791">
        <f t="shared" si="1"/>
        <v>0</v>
      </c>
      <c r="N157" s="811"/>
      <c r="O157" s="791">
        <f t="shared" si="2"/>
        <v>0</v>
      </c>
      <c r="P157" s="791">
        <f t="shared" si="3"/>
        <v>0</v>
      </c>
    </row>
    <row r="158" spans="3:16">
      <c r="C158" s="787" t="str">
        <f>IF(D94="","-",+C157+1)</f>
        <v>-</v>
      </c>
      <c r="D158" s="735">
        <f t="shared" si="4"/>
        <v>0</v>
      </c>
      <c r="E158" s="788">
        <f t="shared" si="6"/>
        <v>0</v>
      </c>
      <c r="F158" s="788">
        <f t="shared" si="0"/>
        <v>0</v>
      </c>
      <c r="G158" s="735">
        <f t="shared" si="5"/>
        <v>0</v>
      </c>
      <c r="H158" s="793">
        <f>+J95*G158+E158</f>
        <v>0</v>
      </c>
      <c r="I158" s="794">
        <f>+J96*G158+E158</f>
        <v>0</v>
      </c>
      <c r="J158" s="791">
        <f t="shared" si="7"/>
        <v>0</v>
      </c>
      <c r="K158" s="791"/>
      <c r="L158" s="811"/>
      <c r="M158" s="791">
        <f t="shared" si="1"/>
        <v>0</v>
      </c>
      <c r="N158" s="811"/>
      <c r="O158" s="791">
        <f t="shared" si="2"/>
        <v>0</v>
      </c>
      <c r="P158" s="791">
        <f t="shared" si="3"/>
        <v>0</v>
      </c>
    </row>
    <row r="159" spans="3:16" ht="13.5" thickBot="1">
      <c r="C159" s="797" t="str">
        <f>IF(D94="","-",+C158+1)</f>
        <v>-</v>
      </c>
      <c r="D159" s="798">
        <f t="shared" si="4"/>
        <v>0</v>
      </c>
      <c r="E159" s="799">
        <f t="shared" si="6"/>
        <v>0</v>
      </c>
      <c r="F159" s="799">
        <f t="shared" si="0"/>
        <v>0</v>
      </c>
      <c r="G159" s="798">
        <f t="shared" si="5"/>
        <v>0</v>
      </c>
      <c r="H159" s="800">
        <f>+J95*G159+E159</f>
        <v>0</v>
      </c>
      <c r="I159" s="800">
        <f>+J96*G159+E159</f>
        <v>0</v>
      </c>
      <c r="J159" s="801">
        <f t="shared" si="7"/>
        <v>0</v>
      </c>
      <c r="K159" s="791"/>
      <c r="L159" s="812"/>
      <c r="M159" s="801">
        <f t="shared" si="1"/>
        <v>0</v>
      </c>
      <c r="N159" s="812"/>
      <c r="O159" s="801">
        <f t="shared" si="2"/>
        <v>0</v>
      </c>
      <c r="P159" s="801">
        <f t="shared" si="3"/>
        <v>0</v>
      </c>
    </row>
    <row r="160" spans="3:16">
      <c r="C160" s="735" t="s">
        <v>83</v>
      </c>
      <c r="D160" s="729"/>
      <c r="E160" s="729">
        <f>SUM(E100:E159)</f>
        <v>0</v>
      </c>
      <c r="F160" s="729"/>
      <c r="G160" s="729"/>
      <c r="H160" s="729">
        <f>SUM(H100:H159)</f>
        <v>0</v>
      </c>
      <c r="I160" s="729">
        <f>SUM(I100:I159)</f>
        <v>0</v>
      </c>
      <c r="J160" s="729">
        <f>SUM(J100:J159)</f>
        <v>0</v>
      </c>
      <c r="K160" s="729"/>
      <c r="L160" s="729"/>
      <c r="M160" s="729"/>
      <c r="N160" s="729"/>
      <c r="O160" s="729"/>
    </row>
    <row r="161" spans="3:15">
      <c r="D161" s="537"/>
      <c r="E161" s="314"/>
      <c r="F161" s="314"/>
      <c r="G161" s="314"/>
      <c r="H161" s="314"/>
      <c r="I161" s="707"/>
      <c r="J161" s="707"/>
      <c r="K161" s="729"/>
      <c r="L161" s="707"/>
      <c r="M161" s="707"/>
      <c r="N161" s="707"/>
      <c r="O161" s="707"/>
    </row>
    <row r="162" spans="3:15">
      <c r="C162" s="314" t="s">
        <v>13</v>
      </c>
      <c r="D162" s="537"/>
      <c r="E162" s="314"/>
      <c r="F162" s="314"/>
      <c r="G162" s="314"/>
      <c r="H162" s="314"/>
      <c r="I162" s="707"/>
      <c r="J162" s="707"/>
      <c r="K162" s="729"/>
      <c r="L162" s="707"/>
      <c r="M162" s="707"/>
      <c r="N162" s="707"/>
      <c r="O162" s="707"/>
    </row>
    <row r="163" spans="3:15">
      <c r="C163" s="314"/>
      <c r="D163" s="537"/>
      <c r="E163" s="314"/>
      <c r="F163" s="314"/>
      <c r="G163" s="314"/>
      <c r="H163" s="314"/>
      <c r="I163" s="707"/>
      <c r="J163" s="707"/>
      <c r="K163" s="729"/>
      <c r="L163" s="707"/>
      <c r="M163" s="707"/>
      <c r="N163" s="707"/>
      <c r="O163" s="707"/>
    </row>
    <row r="164" spans="3:15">
      <c r="C164" s="748" t="s">
        <v>14</v>
      </c>
      <c r="D164" s="735"/>
      <c r="E164" s="735"/>
      <c r="F164" s="735"/>
      <c r="G164" s="735"/>
      <c r="H164" s="729"/>
      <c r="I164" s="729"/>
      <c r="J164" s="803"/>
      <c r="K164" s="803"/>
      <c r="L164" s="803"/>
      <c r="M164" s="803"/>
      <c r="N164" s="803"/>
      <c r="O164" s="803"/>
    </row>
    <row r="165" spans="3:15">
      <c r="C165" s="734" t="s">
        <v>263</v>
      </c>
      <c r="D165" s="735"/>
      <c r="E165" s="735"/>
      <c r="F165" s="735"/>
      <c r="G165" s="735"/>
      <c r="H165" s="729"/>
      <c r="I165" s="729"/>
      <c r="J165" s="803"/>
      <c r="K165" s="803"/>
      <c r="L165" s="803"/>
      <c r="M165" s="803"/>
      <c r="N165" s="803"/>
      <c r="O165" s="803"/>
    </row>
    <row r="166" spans="3:15">
      <c r="C166" s="734" t="s">
        <v>84</v>
      </c>
      <c r="D166" s="735"/>
      <c r="E166" s="735"/>
      <c r="F166" s="735"/>
      <c r="G166" s="735"/>
      <c r="H166" s="729"/>
      <c r="I166" s="729"/>
      <c r="J166" s="803"/>
      <c r="K166" s="803"/>
      <c r="L166" s="803"/>
      <c r="M166" s="803"/>
      <c r="N166" s="803"/>
      <c r="O166" s="803"/>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A4" sqref="D4"/>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4" t="s">
        <v>408</v>
      </c>
    </row>
    <row r="2" spans="1:5" ht="15.75">
      <c r="A2" s="1004" t="s">
        <v>408</v>
      </c>
    </row>
    <row r="3" spans="1:5" ht="15">
      <c r="B3" s="1472" t="str">
        <f>TCOS!$F$5</f>
        <v>AEPTCo subsidiaries in PJM</v>
      </c>
      <c r="C3" s="1472" t="str">
        <f>TCOS!$F$5</f>
        <v>AEPTCo subsidiaries in PJM</v>
      </c>
      <c r="D3" s="1472" t="str">
        <f>TCOS!$F$5</f>
        <v>AEPTCo subsidiaries in PJM</v>
      </c>
      <c r="E3" s="1472" t="str">
        <f>TCOS!$F$5</f>
        <v>AEPTCo subsidiaries in PJM</v>
      </c>
    </row>
    <row r="4" spans="1:5" ht="15">
      <c r="B4" s="1465" t="str">
        <f>"Cost of Service Formula Rate Using Actual/Projected FF1 Balances"</f>
        <v>Cost of Service Formula Rate Using Actual/Projected FF1 Balances</v>
      </c>
      <c r="C4" s="1465"/>
      <c r="D4" s="1465"/>
      <c r="E4" s="1465"/>
    </row>
    <row r="5" spans="1:5" ht="15">
      <c r="B5" s="1472" t="s">
        <v>591</v>
      </c>
      <c r="C5" s="1472"/>
      <c r="D5" s="1472"/>
      <c r="E5" s="1472"/>
    </row>
    <row r="6" spans="1:5" ht="15">
      <c r="B6" s="1475" t="str">
        <f>+TCOS!F9</f>
        <v>AEP Appalachian Transmission Company</v>
      </c>
      <c r="C6" s="1472"/>
      <c r="D6" s="1472"/>
      <c r="E6" s="1472"/>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26" zoomScale="90" zoomScaleNormal="90" zoomScaleSheetLayoutView="70" workbookViewId="0">
      <selection activeCell="A4" sqref="D4"/>
    </sheetView>
  </sheetViews>
  <sheetFormatPr defaultColWidth="11.42578125" defaultRowHeight="12.75"/>
  <cols>
    <col min="1" max="1" width="10.28515625" style="1181" customWidth="1"/>
    <col min="2" max="2" width="52.28515625" style="1154" customWidth="1"/>
    <col min="3" max="7" width="20.28515625" style="1154" customWidth="1"/>
    <col min="8" max="8" width="23" style="1154" customWidth="1"/>
    <col min="9" max="11" width="20.28515625" style="1154" customWidth="1"/>
    <col min="12" max="12" width="20" style="1154" customWidth="1"/>
    <col min="13" max="14" width="15.140625" style="1154" customWidth="1"/>
    <col min="15" max="16384" width="11.42578125" style="1154"/>
  </cols>
  <sheetData>
    <row r="1" spans="1:12" ht="15">
      <c r="A1" s="1531" t="str">
        <f>TCOS!F5</f>
        <v>AEPTCo subsidiaries in PJM</v>
      </c>
      <c r="B1" s="1531" t="s">
        <v>321</v>
      </c>
      <c r="C1" s="1531" t="s">
        <v>321</v>
      </c>
      <c r="D1" s="1531" t="s">
        <v>321</v>
      </c>
      <c r="E1" s="1531" t="s">
        <v>321</v>
      </c>
      <c r="F1" s="1531" t="s">
        <v>321</v>
      </c>
      <c r="G1" s="1531" t="s">
        <v>321</v>
      </c>
      <c r="H1" s="1153"/>
    </row>
    <row r="2" spans="1:12" ht="15">
      <c r="A2" s="1465" t="str">
        <f>"Cost of Service Formula Rate Using Actual/Projected FF1 Balances"</f>
        <v>Cost of Service Formula Rate Using Actual/Projected FF1 Balances</v>
      </c>
      <c r="B2" s="1465"/>
      <c r="C2" s="1465"/>
      <c r="D2" s="1465"/>
      <c r="E2" s="1465"/>
      <c r="F2" s="1465"/>
      <c r="G2" s="1465"/>
      <c r="H2" s="1155"/>
      <c r="I2" s="1155"/>
      <c r="J2" s="1155"/>
      <c r="L2" s="1156"/>
    </row>
    <row r="3" spans="1:12" ht="15">
      <c r="A3" s="1465" t="s">
        <v>732</v>
      </c>
      <c r="B3" s="1465"/>
      <c r="C3" s="1465"/>
      <c r="D3" s="1465"/>
      <c r="E3" s="1465"/>
      <c r="F3" s="1465"/>
      <c r="G3" s="1465"/>
      <c r="H3" s="1155"/>
      <c r="I3" s="1155"/>
      <c r="J3" s="1155"/>
    </row>
    <row r="4" spans="1:12" ht="15">
      <c r="A4" s="1471" t="str">
        <f>TCOS!F9</f>
        <v>AEP Appalachian Transmission Company</v>
      </c>
      <c r="B4" s="1471"/>
      <c r="C4" s="1471"/>
      <c r="D4" s="1471"/>
      <c r="E4" s="1471"/>
      <c r="F4" s="1471"/>
      <c r="G4" s="1471"/>
      <c r="H4" s="1155"/>
      <c r="I4" s="1155"/>
      <c r="J4" s="1155"/>
    </row>
    <row r="5" spans="1:12">
      <c r="A5" s="1155"/>
      <c r="B5" s="1157"/>
      <c r="C5" s="1157"/>
      <c r="D5" s="1157"/>
      <c r="E5" s="1158"/>
      <c r="F5" s="1159"/>
      <c r="H5" s="1015"/>
      <c r="I5" s="1015"/>
      <c r="J5" s="1015"/>
      <c r="K5" s="1015"/>
      <c r="L5" s="1015"/>
    </row>
    <row r="6" spans="1:12" ht="12.75" customHeight="1">
      <c r="A6" s="1153"/>
      <c r="B6" s="1076"/>
      <c r="C6" s="1466" t="s">
        <v>331</v>
      </c>
      <c r="D6" s="1467"/>
      <c r="E6" s="1467"/>
      <c r="F6" s="1467"/>
      <c r="G6" s="1468"/>
      <c r="H6" s="1160"/>
      <c r="I6" s="1015"/>
      <c r="J6" s="1015"/>
      <c r="K6" s="1015"/>
      <c r="L6" s="1015"/>
    </row>
    <row r="7" spans="1:12" s="1163" customFormat="1" ht="38.25">
      <c r="A7" s="1161" t="s">
        <v>700</v>
      </c>
      <c r="B7" s="1081" t="s">
        <v>701</v>
      </c>
      <c r="C7" s="1110" t="s">
        <v>733</v>
      </c>
      <c r="D7" s="1082" t="s">
        <v>163</v>
      </c>
      <c r="E7" s="1082" t="s">
        <v>734</v>
      </c>
      <c r="F7" s="1082" t="s">
        <v>735</v>
      </c>
      <c r="G7" s="1162" t="s">
        <v>331</v>
      </c>
      <c r="H7" s="1160"/>
      <c r="I7" s="1015"/>
      <c r="J7" s="1015"/>
      <c r="K7" s="1015"/>
      <c r="L7" s="1015"/>
    </row>
    <row r="8" spans="1:12" s="1166" customFormat="1">
      <c r="A8" s="1164"/>
      <c r="B8" s="1086" t="s">
        <v>705</v>
      </c>
      <c r="C8" s="1111" t="s">
        <v>723</v>
      </c>
      <c r="D8" s="1087" t="s">
        <v>724</v>
      </c>
      <c r="E8" s="1087" t="s">
        <v>706</v>
      </c>
      <c r="F8" s="1087" t="s">
        <v>707</v>
      </c>
      <c r="G8" s="1165" t="s">
        <v>736</v>
      </c>
      <c r="H8" s="1160"/>
      <c r="I8" s="1015"/>
      <c r="J8" s="1015"/>
      <c r="K8" s="1015"/>
      <c r="L8" s="1015"/>
    </row>
    <row r="9" spans="1:12" s="1166" customFormat="1" ht="44.25" customHeight="1">
      <c r="A9" s="1164"/>
      <c r="B9" s="1086" t="s">
        <v>711</v>
      </c>
      <c r="C9" s="1167" t="s">
        <v>737</v>
      </c>
      <c r="D9" s="1090" t="s">
        <v>738</v>
      </c>
      <c r="E9" s="1090" t="s">
        <v>739</v>
      </c>
      <c r="F9" s="1090" t="s">
        <v>740</v>
      </c>
      <c r="G9" s="1168"/>
      <c r="H9" s="1160"/>
      <c r="I9" s="1015"/>
      <c r="J9" s="1015"/>
      <c r="K9" s="1015"/>
      <c r="L9" s="1015"/>
    </row>
    <row r="10" spans="1:12">
      <c r="A10" s="1164">
        <v>1</v>
      </c>
      <c r="B10" s="1092" t="s">
        <v>712</v>
      </c>
      <c r="C10" s="1169">
        <v>47316052.726999991</v>
      </c>
      <c r="D10" s="1169"/>
      <c r="E10" s="1169"/>
      <c r="F10" s="1169"/>
      <c r="G10" s="1170">
        <f>+C10-D10-E10-F10</f>
        <v>47316052.726999991</v>
      </c>
      <c r="H10" s="1160"/>
      <c r="I10" s="1015"/>
      <c r="J10" s="1015"/>
      <c r="K10" s="1015"/>
      <c r="L10" s="1015"/>
    </row>
    <row r="11" spans="1:12">
      <c r="A11" s="1164">
        <f>+A10+1</f>
        <v>2</v>
      </c>
      <c r="B11" s="1092" t="s">
        <v>568</v>
      </c>
      <c r="C11" s="1169">
        <v>47839982.137000002</v>
      </c>
      <c r="D11" s="1169"/>
      <c r="E11" s="1169"/>
      <c r="F11" s="1169"/>
      <c r="G11" s="1170">
        <f t="shared" ref="G11:G22" si="0">+C11-D11-E11-F11</f>
        <v>47839982.137000002</v>
      </c>
      <c r="H11" s="1160"/>
      <c r="I11" s="1015"/>
      <c r="J11" s="1015"/>
      <c r="K11" s="1015"/>
      <c r="L11" s="1015"/>
    </row>
    <row r="12" spans="1:12">
      <c r="A12" s="1164">
        <f t="shared" ref="A12:A23" si="1">+A11+1</f>
        <v>3</v>
      </c>
      <c r="B12" s="1093" t="s">
        <v>569</v>
      </c>
      <c r="C12" s="1169">
        <v>48479832.967000008</v>
      </c>
      <c r="D12" s="1169"/>
      <c r="E12" s="1169"/>
      <c r="F12" s="1169"/>
      <c r="G12" s="1170">
        <f t="shared" si="0"/>
        <v>48479832.967000008</v>
      </c>
      <c r="H12" s="1160"/>
      <c r="I12" s="1015"/>
      <c r="J12" s="1015"/>
      <c r="K12" s="1015"/>
      <c r="L12" s="1015"/>
    </row>
    <row r="13" spans="1:12">
      <c r="A13" s="1164">
        <f t="shared" si="1"/>
        <v>4</v>
      </c>
      <c r="B13" s="1093" t="s">
        <v>713</v>
      </c>
      <c r="C13" s="1169">
        <v>48945193.867000006</v>
      </c>
      <c r="D13" s="1169"/>
      <c r="E13" s="1169"/>
      <c r="F13" s="1169"/>
      <c r="G13" s="1170">
        <f t="shared" si="0"/>
        <v>48945193.867000006</v>
      </c>
      <c r="H13" s="1160"/>
      <c r="I13" s="1015"/>
      <c r="J13" s="1015"/>
      <c r="K13" s="1015"/>
      <c r="L13" s="1015"/>
    </row>
    <row r="14" spans="1:12">
      <c r="A14" s="1164">
        <f t="shared" si="1"/>
        <v>5</v>
      </c>
      <c r="B14" s="1093" t="s">
        <v>571</v>
      </c>
      <c r="C14" s="1169">
        <v>49408363.662999995</v>
      </c>
      <c r="D14" s="1169"/>
      <c r="E14" s="1169"/>
      <c r="F14" s="1169"/>
      <c r="G14" s="1170">
        <f t="shared" si="0"/>
        <v>49408363.662999995</v>
      </c>
      <c r="H14" s="1160"/>
      <c r="I14" s="1015"/>
      <c r="J14" s="1015"/>
      <c r="K14" s="1015"/>
      <c r="L14" s="1015"/>
    </row>
    <row r="15" spans="1:12">
      <c r="A15" s="1164">
        <f t="shared" si="1"/>
        <v>6</v>
      </c>
      <c r="B15" s="1093" t="s">
        <v>572</v>
      </c>
      <c r="C15" s="1169">
        <v>49924675.182999998</v>
      </c>
      <c r="D15" s="1169"/>
      <c r="E15" s="1169"/>
      <c r="F15" s="1169"/>
      <c r="G15" s="1170">
        <f t="shared" si="0"/>
        <v>49924675.182999998</v>
      </c>
      <c r="H15" s="1160"/>
      <c r="I15" s="1015"/>
      <c r="J15" s="1015"/>
      <c r="K15" s="1015"/>
      <c r="L15" s="1015"/>
    </row>
    <row r="16" spans="1:12">
      <c r="A16" s="1164">
        <f t="shared" si="1"/>
        <v>7</v>
      </c>
      <c r="B16" s="1093" t="s">
        <v>573</v>
      </c>
      <c r="C16" s="1169">
        <v>51141812.203000009</v>
      </c>
      <c r="D16" s="1169"/>
      <c r="E16" s="1169"/>
      <c r="F16" s="1169"/>
      <c r="G16" s="1170">
        <f t="shared" si="0"/>
        <v>51141812.203000009</v>
      </c>
      <c r="H16" s="1160"/>
      <c r="I16" s="1015"/>
      <c r="J16" s="1015"/>
      <c r="K16" s="1015"/>
      <c r="L16" s="1015"/>
    </row>
    <row r="17" spans="1:12">
      <c r="A17" s="1164">
        <f t="shared" si="1"/>
        <v>8</v>
      </c>
      <c r="B17" s="1093" t="s">
        <v>574</v>
      </c>
      <c r="C17" s="1169">
        <v>51714827.433000006</v>
      </c>
      <c r="D17" s="1169"/>
      <c r="E17" s="1169"/>
      <c r="F17" s="1169"/>
      <c r="G17" s="1170">
        <f t="shared" si="0"/>
        <v>51714827.433000006</v>
      </c>
      <c r="H17" s="1160"/>
      <c r="I17" s="1015"/>
      <c r="J17" s="1015"/>
      <c r="K17" s="1015"/>
      <c r="L17" s="1015"/>
    </row>
    <row r="18" spans="1:12">
      <c r="A18" s="1164">
        <f t="shared" si="1"/>
        <v>9</v>
      </c>
      <c r="B18" s="1093" t="s">
        <v>714</v>
      </c>
      <c r="C18" s="1169">
        <v>52268381.502999991</v>
      </c>
      <c r="D18" s="1169"/>
      <c r="E18" s="1169"/>
      <c r="F18" s="1169"/>
      <c r="G18" s="1170">
        <f t="shared" si="0"/>
        <v>52268381.502999991</v>
      </c>
      <c r="H18" s="1160"/>
      <c r="I18" s="1015"/>
      <c r="J18" s="1015"/>
      <c r="K18" s="1015"/>
      <c r="L18" s="1015"/>
    </row>
    <row r="19" spans="1:12">
      <c r="A19" s="1164">
        <f t="shared" si="1"/>
        <v>10</v>
      </c>
      <c r="B19" s="1093" t="s">
        <v>576</v>
      </c>
      <c r="C19" s="1169">
        <v>52757101.322999999</v>
      </c>
      <c r="D19" s="1169"/>
      <c r="E19" s="1169"/>
      <c r="F19" s="1169"/>
      <c r="G19" s="1170">
        <f t="shared" si="0"/>
        <v>52757101.322999999</v>
      </c>
      <c r="H19" s="1160"/>
      <c r="I19" s="1015"/>
      <c r="J19" s="1015"/>
      <c r="K19" s="1015"/>
      <c r="L19" s="1015"/>
    </row>
    <row r="20" spans="1:12">
      <c r="A20" s="1164">
        <f t="shared" si="1"/>
        <v>11</v>
      </c>
      <c r="B20" s="1093" t="s">
        <v>577</v>
      </c>
      <c r="C20" s="1169">
        <v>53175273.003000006</v>
      </c>
      <c r="D20" s="1169"/>
      <c r="E20" s="1169"/>
      <c r="F20" s="1169"/>
      <c r="G20" s="1170">
        <f t="shared" si="0"/>
        <v>53175273.003000006</v>
      </c>
      <c r="H20" s="1160"/>
      <c r="I20" s="1015"/>
      <c r="J20" s="1015"/>
      <c r="K20" s="1015"/>
      <c r="L20" s="1015"/>
    </row>
    <row r="21" spans="1:12">
      <c r="A21" s="1164">
        <f t="shared" si="1"/>
        <v>12</v>
      </c>
      <c r="B21" s="1093" t="s">
        <v>578</v>
      </c>
      <c r="C21" s="1169">
        <v>53615571.543000013</v>
      </c>
      <c r="D21" s="1169"/>
      <c r="E21" s="1169"/>
      <c r="F21" s="1169"/>
      <c r="G21" s="1170">
        <f t="shared" si="0"/>
        <v>53615571.543000013</v>
      </c>
      <c r="H21" s="1160"/>
      <c r="I21" s="1015"/>
      <c r="J21" s="1015"/>
      <c r="K21" s="1015"/>
      <c r="L21" s="1015"/>
    </row>
    <row r="22" spans="1:12">
      <c r="A22" s="1171">
        <f t="shared" si="1"/>
        <v>13</v>
      </c>
      <c r="B22" s="1095" t="s">
        <v>715</v>
      </c>
      <c r="C22" s="1169">
        <v>52588035.403000012</v>
      </c>
      <c r="D22" s="1169"/>
      <c r="E22" s="1169"/>
      <c r="F22" s="1169"/>
      <c r="G22" s="1170">
        <f t="shared" si="0"/>
        <v>52588035.403000012</v>
      </c>
      <c r="H22" s="1160"/>
      <c r="I22" s="1015"/>
      <c r="J22" s="1015"/>
      <c r="K22" s="1015"/>
      <c r="L22" s="1015"/>
    </row>
    <row r="23" spans="1:12" ht="13.5" thickBot="1">
      <c r="A23" s="1171">
        <f t="shared" si="1"/>
        <v>14</v>
      </c>
      <c r="B23" s="1096" t="s">
        <v>716</v>
      </c>
      <c r="C23" s="1118">
        <f>SUM(C10:C22)/13</f>
        <v>50705777.15038462</v>
      </c>
      <c r="D23" s="1097">
        <f>SUM(D10:D22)/13</f>
        <v>0</v>
      </c>
      <c r="E23" s="1097">
        <f>SUM(E10:E22)/13</f>
        <v>0</v>
      </c>
      <c r="F23" s="1097">
        <f>SUM(F10:F22)/13</f>
        <v>0</v>
      </c>
      <c r="G23" s="1172">
        <f>SUM(G10:G22)/13</f>
        <v>50705777.15038462</v>
      </c>
      <c r="H23" s="1160"/>
      <c r="I23" s="1015"/>
      <c r="J23" s="1015"/>
      <c r="K23" s="1015"/>
      <c r="L23" s="1015"/>
    </row>
    <row r="24" spans="1:12" ht="13.5" thickTop="1">
      <c r="A24" s="1153"/>
      <c r="B24" s="1099"/>
      <c r="C24" s="1100"/>
      <c r="D24" s="1101"/>
      <c r="E24" s="1101"/>
      <c r="F24" s="1101"/>
      <c r="G24" s="1100"/>
      <c r="H24" s="1100"/>
      <c r="I24" s="1015"/>
      <c r="J24" s="1015"/>
      <c r="K24" s="1015"/>
      <c r="L24" s="1015"/>
    </row>
    <row r="25" spans="1:12" ht="12.75" customHeight="1">
      <c r="A25" s="1153"/>
      <c r="B25" s="1076"/>
      <c r="C25" s="1532" t="s">
        <v>534</v>
      </c>
      <c r="D25" s="1533"/>
      <c r="E25" s="1533"/>
      <c r="F25" s="1533"/>
      <c r="G25" s="1533"/>
      <c r="H25" s="1534"/>
      <c r="I25" s="1015"/>
      <c r="J25" s="1015"/>
      <c r="K25" s="1015"/>
      <c r="L25" s="1015"/>
    </row>
    <row r="26" spans="1:12" s="1163" customFormat="1" ht="38.25">
      <c r="A26" s="1161" t="s">
        <v>700</v>
      </c>
      <c r="B26" s="1081" t="s">
        <v>701</v>
      </c>
      <c r="C26" s="1110" t="s">
        <v>741</v>
      </c>
      <c r="D26" s="1082" t="s">
        <v>742</v>
      </c>
      <c r="E26" s="1082" t="s">
        <v>756</v>
      </c>
      <c r="F26" s="1082" t="s">
        <v>757</v>
      </c>
      <c r="G26" s="1082" t="s">
        <v>743</v>
      </c>
      <c r="H26" s="1162" t="s">
        <v>755</v>
      </c>
      <c r="I26" s="1015"/>
      <c r="J26" s="1015"/>
      <c r="K26" s="1015"/>
      <c r="L26" s="1015"/>
    </row>
    <row r="27" spans="1:12" s="1166" customFormat="1">
      <c r="A27" s="1164"/>
      <c r="B27" s="1086" t="s">
        <v>705</v>
      </c>
      <c r="C27" s="1111" t="s">
        <v>723</v>
      </c>
      <c r="D27" s="1087" t="s">
        <v>724</v>
      </c>
      <c r="E27" s="1087" t="s">
        <v>706</v>
      </c>
      <c r="F27" s="1087" t="s">
        <v>707</v>
      </c>
      <c r="G27" s="1087" t="s">
        <v>744</v>
      </c>
      <c r="H27" s="1165" t="s">
        <v>745</v>
      </c>
      <c r="I27" s="1015"/>
      <c r="J27" s="1015"/>
      <c r="K27" s="1015"/>
      <c r="L27" s="1015"/>
    </row>
    <row r="28" spans="1:12" s="1166" customFormat="1" ht="44.25" customHeight="1">
      <c r="A28" s="1164"/>
      <c r="B28" s="1086" t="s">
        <v>711</v>
      </c>
      <c r="C28" s="1167" t="s">
        <v>746</v>
      </c>
      <c r="D28" s="1090" t="s">
        <v>747</v>
      </c>
      <c r="E28" s="1090" t="s">
        <v>748</v>
      </c>
      <c r="F28" s="1090" t="s">
        <v>749</v>
      </c>
      <c r="G28" s="1090" t="s">
        <v>750</v>
      </c>
      <c r="H28" s="1173"/>
      <c r="I28" s="1015"/>
      <c r="J28" s="1015"/>
      <c r="K28" s="1015"/>
      <c r="L28" s="1015"/>
    </row>
    <row r="29" spans="1:12">
      <c r="A29" s="1164">
        <f>+A23+1</f>
        <v>15</v>
      </c>
      <c r="B29" s="1092" t="s">
        <v>712</v>
      </c>
      <c r="C29" s="1169"/>
      <c r="D29" s="1169"/>
      <c r="E29" s="1169">
        <v>60600000</v>
      </c>
      <c r="F29" s="1169"/>
      <c r="G29" s="1169"/>
      <c r="H29" s="1170">
        <f>+C29-D29+E29+F29-G29</f>
        <v>60600000</v>
      </c>
      <c r="I29" s="1015"/>
      <c r="J29" s="1015"/>
      <c r="K29" s="1015"/>
      <c r="L29" s="1015"/>
    </row>
    <row r="30" spans="1:12">
      <c r="A30" s="1164">
        <f>+A29+1</f>
        <v>16</v>
      </c>
      <c r="B30" s="1092" t="s">
        <v>568</v>
      </c>
      <c r="C30" s="1169"/>
      <c r="D30" s="1169"/>
      <c r="E30" s="1169">
        <v>60600000</v>
      </c>
      <c r="F30" s="1169"/>
      <c r="G30" s="1169"/>
      <c r="H30" s="1170">
        <f t="shared" ref="H30:H41" si="2">+C30-D30+E30+F30-G30</f>
        <v>60600000</v>
      </c>
      <c r="I30" s="1015"/>
      <c r="J30" s="1015"/>
      <c r="K30" s="1015"/>
      <c r="L30" s="1015"/>
    </row>
    <row r="31" spans="1:12">
      <c r="A31" s="1164">
        <f t="shared" ref="A31:A42" si="3">+A30+1</f>
        <v>17</v>
      </c>
      <c r="B31" s="1093" t="s">
        <v>569</v>
      </c>
      <c r="C31" s="1169"/>
      <c r="D31" s="1169"/>
      <c r="E31" s="1169">
        <v>60600000</v>
      </c>
      <c r="F31" s="1169"/>
      <c r="G31" s="1169"/>
      <c r="H31" s="1170">
        <f t="shared" si="2"/>
        <v>60600000</v>
      </c>
      <c r="I31" s="1015"/>
      <c r="J31" s="1015"/>
      <c r="K31" s="1015"/>
      <c r="L31" s="1015"/>
    </row>
    <row r="32" spans="1:12">
      <c r="A32" s="1164">
        <f t="shared" si="3"/>
        <v>18</v>
      </c>
      <c r="B32" s="1093" t="s">
        <v>713</v>
      </c>
      <c r="C32" s="1169"/>
      <c r="D32" s="1169"/>
      <c r="E32" s="1169">
        <v>60600000</v>
      </c>
      <c r="F32" s="1169"/>
      <c r="G32" s="1169"/>
      <c r="H32" s="1170">
        <f t="shared" si="2"/>
        <v>60600000</v>
      </c>
      <c r="I32" s="1015"/>
      <c r="J32" s="1015"/>
      <c r="K32" s="1015"/>
      <c r="L32" s="1015"/>
    </row>
    <row r="33" spans="1:12">
      <c r="A33" s="1164">
        <f t="shared" si="3"/>
        <v>19</v>
      </c>
      <c r="B33" s="1093" t="s">
        <v>571</v>
      </c>
      <c r="C33" s="1169"/>
      <c r="D33" s="1169"/>
      <c r="E33" s="1169">
        <v>60600000</v>
      </c>
      <c r="F33" s="1169"/>
      <c r="G33" s="1169"/>
      <c r="H33" s="1170">
        <f t="shared" si="2"/>
        <v>60600000</v>
      </c>
      <c r="I33" s="1015"/>
      <c r="J33" s="1015"/>
      <c r="K33" s="1015"/>
      <c r="L33" s="1015"/>
    </row>
    <row r="34" spans="1:12">
      <c r="A34" s="1164">
        <f t="shared" si="3"/>
        <v>20</v>
      </c>
      <c r="B34" s="1093" t="s">
        <v>572</v>
      </c>
      <c r="C34" s="1169"/>
      <c r="D34" s="1169"/>
      <c r="E34" s="1169">
        <v>60600000</v>
      </c>
      <c r="F34" s="1169"/>
      <c r="G34" s="1169"/>
      <c r="H34" s="1170">
        <f>+C34-D34+E34+F34-G34</f>
        <v>60600000</v>
      </c>
      <c r="I34" s="1015"/>
      <c r="J34" s="1015"/>
      <c r="K34" s="1015"/>
      <c r="L34" s="1015"/>
    </row>
    <row r="35" spans="1:12">
      <c r="A35" s="1164">
        <f t="shared" si="3"/>
        <v>21</v>
      </c>
      <c r="B35" s="1093" t="s">
        <v>573</v>
      </c>
      <c r="C35" s="1169"/>
      <c r="D35" s="1169"/>
      <c r="E35" s="1169">
        <v>60600000</v>
      </c>
      <c r="F35" s="1169"/>
      <c r="G35" s="1169"/>
      <c r="H35" s="1170">
        <f t="shared" si="2"/>
        <v>60600000</v>
      </c>
      <c r="I35" s="1015"/>
      <c r="J35" s="1015"/>
      <c r="K35" s="1015"/>
      <c r="L35" s="1015"/>
    </row>
    <row r="36" spans="1:12">
      <c r="A36" s="1164">
        <f t="shared" si="3"/>
        <v>22</v>
      </c>
      <c r="B36" s="1093" t="s">
        <v>574</v>
      </c>
      <c r="C36" s="1169"/>
      <c r="D36" s="1169"/>
      <c r="E36" s="1169">
        <v>60600000</v>
      </c>
      <c r="F36" s="1169"/>
      <c r="G36" s="1169"/>
      <c r="H36" s="1170">
        <f t="shared" si="2"/>
        <v>60600000</v>
      </c>
      <c r="I36" s="1015"/>
      <c r="J36" s="1015"/>
      <c r="K36" s="1015"/>
      <c r="L36" s="1015"/>
    </row>
    <row r="37" spans="1:12">
      <c r="A37" s="1164">
        <f t="shared" si="3"/>
        <v>23</v>
      </c>
      <c r="B37" s="1093" t="s">
        <v>714</v>
      </c>
      <c r="C37" s="1169"/>
      <c r="D37" s="1169"/>
      <c r="E37" s="1169">
        <v>60600000</v>
      </c>
      <c r="F37" s="1169"/>
      <c r="G37" s="1169"/>
      <c r="H37" s="1170">
        <f t="shared" si="2"/>
        <v>60600000</v>
      </c>
      <c r="I37" s="1015"/>
      <c r="J37" s="1015"/>
      <c r="K37" s="1015"/>
      <c r="L37" s="1015"/>
    </row>
    <row r="38" spans="1:12">
      <c r="A38" s="1164">
        <f t="shared" si="3"/>
        <v>24</v>
      </c>
      <c r="B38" s="1093" t="s">
        <v>576</v>
      </c>
      <c r="C38" s="1169"/>
      <c r="D38" s="1169"/>
      <c r="E38" s="1169">
        <v>60600000</v>
      </c>
      <c r="F38" s="1169"/>
      <c r="G38" s="1169"/>
      <c r="H38" s="1170">
        <f t="shared" si="2"/>
        <v>60600000</v>
      </c>
      <c r="I38" s="1015"/>
      <c r="J38" s="1015"/>
      <c r="K38" s="1015"/>
      <c r="L38" s="1015"/>
    </row>
    <row r="39" spans="1:12">
      <c r="A39" s="1164">
        <f t="shared" si="3"/>
        <v>25</v>
      </c>
      <c r="B39" s="1093" t="s">
        <v>577</v>
      </c>
      <c r="C39" s="1169"/>
      <c r="D39" s="1169"/>
      <c r="E39" s="1169">
        <v>60600000</v>
      </c>
      <c r="F39" s="1169"/>
      <c r="G39" s="1169"/>
      <c r="H39" s="1170">
        <f t="shared" si="2"/>
        <v>60600000</v>
      </c>
      <c r="I39" s="1015"/>
      <c r="J39" s="1015"/>
      <c r="K39" s="1015"/>
      <c r="L39" s="1015"/>
    </row>
    <row r="40" spans="1:12">
      <c r="A40" s="1164">
        <f t="shared" si="3"/>
        <v>26</v>
      </c>
      <c r="B40" s="1093" t="s">
        <v>578</v>
      </c>
      <c r="C40" s="1169"/>
      <c r="D40" s="1169"/>
      <c r="E40" s="1169">
        <v>60600000</v>
      </c>
      <c r="F40" s="1169"/>
      <c r="G40" s="1169"/>
      <c r="H40" s="1170">
        <f t="shared" si="2"/>
        <v>60600000</v>
      </c>
      <c r="I40" s="1015"/>
      <c r="J40" s="1015"/>
      <c r="K40" s="1015"/>
      <c r="L40" s="1015"/>
    </row>
    <row r="41" spans="1:12">
      <c r="A41" s="1171">
        <f t="shared" si="3"/>
        <v>27</v>
      </c>
      <c r="B41" s="1095" t="s">
        <v>715</v>
      </c>
      <c r="C41" s="1169"/>
      <c r="D41" s="1169"/>
      <c r="E41" s="1169">
        <v>60600000</v>
      </c>
      <c r="F41" s="1169"/>
      <c r="G41" s="1169"/>
      <c r="H41" s="1170">
        <f t="shared" si="2"/>
        <v>60600000</v>
      </c>
      <c r="I41" s="1015"/>
      <c r="J41" s="1015"/>
      <c r="K41" s="1015"/>
      <c r="L41" s="1015"/>
    </row>
    <row r="42" spans="1:12" ht="13.5" thickBot="1">
      <c r="A42" s="1175">
        <f t="shared" si="3"/>
        <v>28</v>
      </c>
      <c r="B42" s="1104" t="s">
        <v>716</v>
      </c>
      <c r="C42" s="1118">
        <f t="shared" ref="C42:H42" si="4">SUM(C29:C41)/13</f>
        <v>0</v>
      </c>
      <c r="D42" s="1097">
        <f t="shared" si="4"/>
        <v>0</v>
      </c>
      <c r="E42" s="1097">
        <f>SUM(E29:E41)/13</f>
        <v>60600000</v>
      </c>
      <c r="F42" s="1097">
        <f t="shared" si="4"/>
        <v>0</v>
      </c>
      <c r="G42" s="1097">
        <f t="shared" si="4"/>
        <v>0</v>
      </c>
      <c r="H42" s="1172">
        <f t="shared" si="4"/>
        <v>60600000</v>
      </c>
      <c r="I42" s="1015"/>
      <c r="J42" s="1015"/>
      <c r="K42" s="1015"/>
      <c r="L42" s="1015"/>
    </row>
    <row r="43" spans="1:12" ht="13.5" thickTop="1">
      <c r="A43" s="1155"/>
      <c r="B43" s="1176"/>
      <c r="C43" s="1177"/>
      <c r="D43" s="1178"/>
      <c r="E43" s="1178"/>
      <c r="F43" s="1178"/>
      <c r="G43" s="1177"/>
      <c r="H43" s="1177"/>
      <c r="I43" s="1015"/>
      <c r="J43" s="1015"/>
      <c r="K43" s="1015"/>
      <c r="L43" s="1015"/>
    </row>
    <row r="44" spans="1:12" ht="12.75" customHeight="1">
      <c r="A44" s="1179" t="s">
        <v>751</v>
      </c>
      <c r="F44" s="1180"/>
      <c r="G44" s="1180"/>
      <c r="H44" s="1180"/>
      <c r="I44" s="1015"/>
      <c r="J44" s="1015"/>
      <c r="K44" s="1015"/>
    </row>
    <row r="45" spans="1:12">
      <c r="E45" s="1180"/>
      <c r="F45" s="1180"/>
      <c r="G45" s="1180"/>
      <c r="H45" s="1180"/>
      <c r="J45" s="1176"/>
    </row>
    <row r="46" spans="1:12" ht="15">
      <c r="A46" s="1182" t="s">
        <v>332</v>
      </c>
      <c r="E46" s="1180"/>
      <c r="F46" s="1180"/>
      <c r="G46" s="1180"/>
      <c r="H46" s="1153"/>
    </row>
    <row r="47" spans="1:12" ht="15">
      <c r="A47" s="1182"/>
      <c r="B47" s="1183" t="s">
        <v>705</v>
      </c>
      <c r="C47" s="1183" t="s">
        <v>723</v>
      </c>
      <c r="D47" s="1184" t="s">
        <v>724</v>
      </c>
      <c r="E47" s="1183" t="s">
        <v>706</v>
      </c>
      <c r="F47" s="1184" t="s">
        <v>707</v>
      </c>
      <c r="G47" s="1183" t="s">
        <v>744</v>
      </c>
      <c r="H47" s="1183" t="s">
        <v>752</v>
      </c>
    </row>
    <row r="48" spans="1:12">
      <c r="A48" s="718">
        <f>+A42+1</f>
        <v>29</v>
      </c>
      <c r="B48" s="1185" t="str">
        <f>"Annual Interest Expense for "&amp;TCOS!L4</f>
        <v>Annual Interest Expense for 2024</v>
      </c>
      <c r="C48" s="1186"/>
      <c r="D48" s="1187"/>
      <c r="E48" s="1188"/>
      <c r="F48" s="1188"/>
      <c r="G48" s="1188"/>
      <c r="H48" s="1188"/>
      <c r="I48" s="1188"/>
      <c r="J48" s="1188"/>
      <c r="K48" s="1188"/>
      <c r="L48" s="1188"/>
    </row>
    <row r="49" spans="1:12">
      <c r="A49" s="718">
        <f>+A48+1</f>
        <v>30</v>
      </c>
      <c r="B49" s="1261" t="s">
        <v>771</v>
      </c>
      <c r="C49" s="1186"/>
      <c r="D49" s="1187"/>
      <c r="E49" s="1190">
        <v>2258900</v>
      </c>
      <c r="F49" s="1188"/>
      <c r="G49" s="1188"/>
      <c r="H49" s="1188"/>
      <c r="I49" s="1188"/>
      <c r="J49" s="1188"/>
      <c r="K49" s="1188"/>
      <c r="L49" s="1188"/>
    </row>
    <row r="50" spans="1:12" ht="28.5" customHeight="1">
      <c r="A50" s="718">
        <f t="shared" ref="A50:A55" si="5">+A49+1</f>
        <v>31</v>
      </c>
      <c r="B50" s="1535" t="str">
        <f>"Less: Total Hedge Gain/Expense Accumulated from p 256-257, col. (i) of FERC Form 1  included in Ln "&amp;A49&amp;" and shown in "&amp;A68&amp;" below."</f>
        <v>Less: Total Hedge Gain/Expense Accumulated from p 256-257, col. (i) of FERC Form 1  included in Ln 30 and shown in 43 below.</v>
      </c>
      <c r="C50" s="1536"/>
      <c r="D50" s="1187"/>
      <c r="E50" s="1186">
        <f>+C68</f>
        <v>0</v>
      </c>
      <c r="F50" s="1188"/>
      <c r="G50" s="1188"/>
      <c r="H50" s="1188"/>
      <c r="I50" s="1188"/>
      <c r="J50" s="1188"/>
      <c r="K50" s="1188"/>
      <c r="L50" s="1188"/>
    </row>
    <row r="51" spans="1:12">
      <c r="A51" s="718">
        <f t="shared" si="5"/>
        <v>32</v>
      </c>
      <c r="B51" s="1261" t="s">
        <v>772</v>
      </c>
      <c r="C51" s="1262"/>
      <c r="D51" s="1191"/>
      <c r="E51" s="1190">
        <v>32051.9</v>
      </c>
      <c r="F51" s="1188"/>
      <c r="G51" s="1188"/>
      <c r="H51" s="1188"/>
      <c r="I51" s="1188"/>
      <c r="J51" s="1188"/>
    </row>
    <row r="52" spans="1:12">
      <c r="A52" s="718">
        <f t="shared" si="5"/>
        <v>33</v>
      </c>
      <c r="B52" s="1261" t="s">
        <v>773</v>
      </c>
      <c r="C52" s="1192"/>
      <c r="D52" s="1187"/>
      <c r="E52" s="1190">
        <v>0</v>
      </c>
      <c r="F52" s="1188"/>
      <c r="G52" s="1188"/>
      <c r="H52" s="1188"/>
      <c r="I52" s="1188"/>
      <c r="J52" s="1188"/>
    </row>
    <row r="53" spans="1:12">
      <c r="A53" s="718">
        <f t="shared" si="5"/>
        <v>34</v>
      </c>
      <c r="B53" s="1261" t="s">
        <v>774</v>
      </c>
      <c r="C53" s="1192"/>
      <c r="D53" s="1187"/>
      <c r="E53" s="1190">
        <v>0</v>
      </c>
      <c r="F53" s="1188"/>
      <c r="G53" s="1188"/>
      <c r="H53" s="1188"/>
      <c r="I53" s="1188"/>
      <c r="J53" s="1188"/>
    </row>
    <row r="54" spans="1:12" ht="13.5" thickBot="1">
      <c r="A54" s="718">
        <f t="shared" si="5"/>
        <v>35</v>
      </c>
      <c r="B54" s="1261" t="s">
        <v>775</v>
      </c>
      <c r="C54" s="1192"/>
      <c r="D54" s="1187"/>
      <c r="E54" s="1193">
        <v>0</v>
      </c>
      <c r="F54" s="1188"/>
      <c r="G54" s="1188"/>
      <c r="H54" s="1188"/>
      <c r="I54" s="1188"/>
      <c r="J54" s="1188"/>
    </row>
    <row r="55" spans="1:12">
      <c r="A55" s="718">
        <f t="shared" si="5"/>
        <v>36</v>
      </c>
      <c r="B55" s="1185" t="str">
        <f>"Total Interest Expense (Ln "&amp;A49&amp;" - "&amp;A50&amp;" + "&amp;A51&amp;" + "&amp;A52&amp;" - "&amp;A53&amp;" - "&amp;A54&amp;")"</f>
        <v>Total Interest Expense (Ln 30 - 31 + 32 + 33 - 34 - 35)</v>
      </c>
      <c r="C55" s="1194"/>
      <c r="D55" s="1195"/>
      <c r="E55" s="1196">
        <f>+E49-E50+E51+E52-E53-E54</f>
        <v>2290951.9</v>
      </c>
      <c r="F55" s="1188"/>
      <c r="G55" s="1188"/>
      <c r="H55" s="1188"/>
      <c r="I55" s="1188"/>
      <c r="J55" s="1188"/>
    </row>
    <row r="56" spans="1:12" ht="13.5" thickBot="1">
      <c r="A56" s="718"/>
      <c r="B56" s="1189"/>
      <c r="C56" s="1192"/>
      <c r="D56" s="1187"/>
      <c r="E56" s="1197"/>
      <c r="F56" s="1188"/>
      <c r="G56" s="1188"/>
      <c r="H56" s="1188"/>
      <c r="I56" s="1188"/>
      <c r="J56" s="1188"/>
    </row>
    <row r="57" spans="1:12" ht="13.5" thickBot="1">
      <c r="A57" s="718">
        <f>+A55+1</f>
        <v>37</v>
      </c>
      <c r="B57" s="1185" t="str">
        <f>"Average Cost of Debt for "&amp;TCOS!L4&amp;" (Ln "&amp;A55&amp;"/ ln "&amp;A42&amp;" (g))"</f>
        <v>Average Cost of Debt for 2024 (Ln 36/ ln 28 (g))</v>
      </c>
      <c r="C57" s="1194"/>
      <c r="D57" s="1187"/>
      <c r="E57" s="1198">
        <f>+E55/H42</f>
        <v>3.7804486798679864E-2</v>
      </c>
      <c r="F57" s="1188"/>
      <c r="G57" s="1188"/>
      <c r="H57" s="1188"/>
      <c r="I57" s="1188"/>
      <c r="J57" s="1188"/>
    </row>
    <row r="58" spans="1:12">
      <c r="A58" s="1199"/>
      <c r="B58" s="1189"/>
      <c r="C58" s="1192"/>
      <c r="D58" s="1187"/>
      <c r="E58" s="1192"/>
      <c r="F58" s="1188"/>
      <c r="G58" s="1188"/>
      <c r="H58" s="1188"/>
      <c r="I58" s="1188"/>
      <c r="J58" s="1188"/>
    </row>
    <row r="59" spans="1:12" ht="16.5" customHeight="1">
      <c r="A59" s="1200"/>
      <c r="B59" s="1537" t="s">
        <v>753</v>
      </c>
      <c r="C59" s="1537"/>
      <c r="D59" s="1537"/>
      <c r="E59" s="1537"/>
      <c r="F59" s="1201"/>
      <c r="G59" s="1188"/>
      <c r="H59" s="1188"/>
      <c r="I59" s="1188"/>
      <c r="J59" s="1188"/>
    </row>
    <row r="60" spans="1:12" ht="21" customHeight="1">
      <c r="A60" s="1202">
        <f>+A57+1</f>
        <v>38</v>
      </c>
      <c r="B60" s="1538" t="str">
        <f>""&amp;A4&amp;" may not include costs (or gains) related to interest hedging activities."</f>
        <v>AEP Appalachian Transmission Company may not include costs (or gains) related to interest hedging activities.</v>
      </c>
      <c r="C60" s="1538"/>
      <c r="D60" s="1538"/>
      <c r="E60" s="1538"/>
      <c r="F60" s="1538"/>
      <c r="G60" s="1203"/>
      <c r="H60" s="1203"/>
      <c r="I60" s="1188"/>
      <c r="J60" s="1188"/>
    </row>
    <row r="61" spans="1:12">
      <c r="A61" s="1204"/>
      <c r="B61" s="1205"/>
      <c r="C61" s="1205"/>
      <c r="D61" s="1205"/>
      <c r="E61" s="1539" t="s">
        <v>219</v>
      </c>
      <c r="F61" s="1539"/>
      <c r="G61" s="1015"/>
      <c r="H61" s="1015"/>
      <c r="I61" s="1188"/>
      <c r="J61" s="1188"/>
    </row>
    <row r="62" spans="1:12" ht="38.25">
      <c r="A62" s="718"/>
      <c r="B62" s="1207" t="s">
        <v>220</v>
      </c>
      <c r="C62" s="1207" t="str">
        <f>"(Amortization of (Gain)/Loss for "&amp;TCOS!L4</f>
        <v>(Amortization of (Gain)/Loss for 2024</v>
      </c>
      <c r="D62" s="1206" t="s">
        <v>221</v>
      </c>
      <c r="E62" s="1206" t="s">
        <v>78</v>
      </c>
      <c r="F62" s="1206" t="s">
        <v>80</v>
      </c>
      <c r="G62" s="1015"/>
      <c r="H62" s="1015"/>
      <c r="I62" s="1188"/>
      <c r="J62" s="1188"/>
    </row>
    <row r="63" spans="1:12">
      <c r="A63" s="718">
        <f>+A60+1</f>
        <v>39</v>
      </c>
      <c r="B63" s="1208"/>
      <c r="C63" s="1174"/>
      <c r="D63" s="1208"/>
      <c r="E63" s="1208"/>
      <c r="F63" s="1209"/>
      <c r="G63" s="1015"/>
      <c r="H63" s="1015"/>
      <c r="I63" s="1191"/>
      <c r="J63" s="1191"/>
    </row>
    <row r="64" spans="1:12">
      <c r="A64" s="718">
        <f>+A63+1</f>
        <v>40</v>
      </c>
      <c r="B64" s="1208"/>
      <c r="C64" s="1174"/>
      <c r="D64" s="1208"/>
      <c r="E64" s="1208"/>
      <c r="F64" s="1209"/>
      <c r="G64" s="1210"/>
      <c r="H64" s="1210"/>
      <c r="I64" s="1188"/>
      <c r="J64" s="1188"/>
    </row>
    <row r="65" spans="1:10">
      <c r="A65" s="718">
        <f>+A64+1</f>
        <v>41</v>
      </c>
      <c r="B65" s="1208"/>
      <c r="C65" s="1174"/>
      <c r="D65" s="1211"/>
      <c r="E65" s="1211"/>
      <c r="F65" s="1209"/>
      <c r="G65" s="1210"/>
      <c r="H65" s="1210"/>
      <c r="I65" s="1188"/>
      <c r="J65" s="1188"/>
    </row>
    <row r="66" spans="1:10">
      <c r="A66" s="718">
        <f>+A65+1</f>
        <v>42</v>
      </c>
      <c r="B66" s="1208"/>
      <c r="C66" s="1174"/>
      <c r="D66" s="1211"/>
      <c r="E66" s="1211"/>
      <c r="F66" s="1212"/>
      <c r="G66" s="1213"/>
      <c r="H66" s="1214"/>
      <c r="I66" s="1188"/>
      <c r="J66" s="1188"/>
    </row>
    <row r="67" spans="1:10">
      <c r="A67" s="718"/>
      <c r="B67" s="1215"/>
      <c r="C67" s="1216"/>
      <c r="D67" s="1216"/>
      <c r="E67" s="1217"/>
      <c r="F67" s="1188"/>
      <c r="G67" s="1218"/>
      <c r="H67" s="1218"/>
    </row>
    <row r="68" spans="1:10">
      <c r="A68" s="718">
        <f>+A66+1</f>
        <v>43</v>
      </c>
      <c r="B68" s="1219" t="s">
        <v>245</v>
      </c>
      <c r="C68" s="1197">
        <f>SUM(C63:C67)</f>
        <v>0</v>
      </c>
      <c r="D68" s="1197">
        <f>SUM(D63:D67)</f>
        <v>0</v>
      </c>
      <c r="E68" s="1197">
        <f>SUM(E63:E67)</f>
        <v>0</v>
      </c>
      <c r="F68" s="1220">
        <f>SUM(F63:F67)</f>
        <v>0</v>
      </c>
      <c r="G68" s="1188"/>
      <c r="H68" s="1188"/>
    </row>
    <row r="69" spans="1:10">
      <c r="A69" s="718"/>
      <c r="B69" s="1189"/>
      <c r="C69" s="1197"/>
      <c r="D69" s="1197"/>
      <c r="E69" s="1197"/>
      <c r="F69" s="1188"/>
      <c r="G69" s="1188"/>
      <c r="H69" s="1188"/>
    </row>
    <row r="70" spans="1:10">
      <c r="A70" s="718"/>
      <c r="B70" s="1185"/>
      <c r="C70" s="1192"/>
      <c r="D70" s="1187"/>
      <c r="E70" s="1221"/>
      <c r="F70" s="1188"/>
      <c r="G70" s="1188"/>
      <c r="H70" s="1188"/>
    </row>
    <row r="71" spans="1:10">
      <c r="A71" s="718"/>
      <c r="B71" s="1185"/>
      <c r="C71" s="1192"/>
      <c r="D71" s="1187"/>
      <c r="E71" s="1221"/>
      <c r="F71" s="1188"/>
      <c r="G71" s="1188"/>
      <c r="H71" s="1188"/>
    </row>
    <row r="72" spans="1:10" ht="15">
      <c r="A72" s="1222" t="s">
        <v>337</v>
      </c>
      <c r="B72" s="1185"/>
      <c r="C72" s="1192"/>
      <c r="D72" s="1187"/>
      <c r="E72" s="1221"/>
      <c r="F72" s="1188"/>
      <c r="G72" s="1188"/>
      <c r="H72" s="1188"/>
    </row>
    <row r="73" spans="1:10">
      <c r="A73" s="718"/>
      <c r="B73" s="1185"/>
      <c r="C73" s="1192"/>
      <c r="D73" s="1187"/>
      <c r="E73" s="1221"/>
      <c r="F73" s="1188"/>
      <c r="G73" s="1188"/>
      <c r="H73" s="1188"/>
    </row>
    <row r="74" spans="1:10">
      <c r="A74" s="1223">
        <f>+A68+1</f>
        <v>44</v>
      </c>
      <c r="B74" s="1187" t="str">
        <f>"Balance of Preferred Stock (Line "&amp;A23&amp;" (c))"</f>
        <v>Balance of Preferred Stock (Line 14 (c))</v>
      </c>
      <c r="E74" s="1224">
        <f>+D23</f>
        <v>0</v>
      </c>
    </row>
    <row r="75" spans="1:10">
      <c r="A75" s="718">
        <f>+A74+1</f>
        <v>45</v>
      </c>
      <c r="B75" s="1187" t="s">
        <v>754</v>
      </c>
      <c r="E75" s="1212"/>
    </row>
    <row r="76" spans="1:10">
      <c r="A76" s="718">
        <f>+A75+1</f>
        <v>46</v>
      </c>
      <c r="B76" s="1225" t="str">
        <f>"Average Cost of Preferred Stock (Ln "&amp;A75&amp;" / ln "&amp;A74&amp;")"</f>
        <v>Average Cost of Preferred Stock (Ln 45 / ln 44)</v>
      </c>
      <c r="E76" s="1226"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A4" sqref="D4"/>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4" t="s">
        <v>408</v>
      </c>
    </row>
    <row r="2" spans="1:21" ht="15.75">
      <c r="A2" s="1004" t="s">
        <v>408</v>
      </c>
    </row>
    <row r="3" spans="1:21" ht="18">
      <c r="A3" s="1515" t="str">
        <f>TCOS!$F$5</f>
        <v>AEPTCo subsidiaries in PJM</v>
      </c>
      <c r="B3" s="1515" t="str">
        <f>TCOS!$F$5</f>
        <v>AEPTCo subsidiaries in PJM</v>
      </c>
      <c r="C3" s="1515" t="str">
        <f>TCOS!$F$5</f>
        <v>AEPTCo subsidiaries in PJM</v>
      </c>
      <c r="D3" s="1515" t="str">
        <f>TCOS!$F$5</f>
        <v>AEPTCo subsidiaries in PJM</v>
      </c>
      <c r="E3" s="1515" t="str">
        <f>TCOS!$F$5</f>
        <v>AEPTCo subsidiaries in PJM</v>
      </c>
      <c r="F3" s="1515" t="str">
        <f>TCOS!$F$5</f>
        <v>AEPTCo subsidiaries in PJM</v>
      </c>
      <c r="G3" s="1515" t="str">
        <f>TCOS!$F$5</f>
        <v>AEPTCo subsidiaries in PJM</v>
      </c>
      <c r="H3" s="1515" t="str">
        <f>TCOS!$F$5</f>
        <v>AEPTCo subsidiaries in PJM</v>
      </c>
      <c r="I3" s="1515" t="str">
        <f>TCOS!$F$5</f>
        <v>AEPTCo subsidiaries in PJM</v>
      </c>
      <c r="J3" s="1515" t="str">
        <f>TCOS!$F$5</f>
        <v>AEPTCo subsidiaries in PJM</v>
      </c>
      <c r="K3" s="1515" t="str">
        <f>TCOS!$F$5</f>
        <v>AEPTCo subsidiaries in PJM</v>
      </c>
      <c r="L3" s="1515" t="str">
        <f>TCOS!$F$5</f>
        <v>AEPTCo subsidiaries in PJM</v>
      </c>
      <c r="M3" s="1515" t="str">
        <f>TCOS!$F$5</f>
        <v>AEPTCo subsidiaries in PJM</v>
      </c>
      <c r="N3" s="1515" t="str">
        <f>TCOS!$F$5</f>
        <v>AEPTCo subsidiaries in PJM</v>
      </c>
      <c r="O3" s="1515" t="str">
        <f>TCOS!$F$5</f>
        <v>AEPTCo subsidiaries in PJM</v>
      </c>
    </row>
    <row r="4" spans="1:21" ht="18">
      <c r="A4" s="1514" t="str">
        <f>"Cost of Service Formula Rate Using Actual/Projected FF1 Balances"</f>
        <v>Cost of Service Formula Rate Using Actual/Projected FF1 Balances</v>
      </c>
      <c r="B4" s="1514"/>
      <c r="C4" s="1514"/>
      <c r="D4" s="1514"/>
      <c r="E4" s="1514"/>
      <c r="F4" s="1514"/>
      <c r="G4" s="1514"/>
      <c r="H4" s="1514"/>
      <c r="I4" s="1514"/>
      <c r="J4" s="1514"/>
      <c r="K4" s="1514"/>
      <c r="L4" s="1514"/>
      <c r="M4" s="1514"/>
      <c r="N4" s="1514"/>
      <c r="O4" s="1514"/>
    </row>
    <row r="5" spans="1:21" ht="18">
      <c r="A5" s="1514" t="s">
        <v>24</v>
      </c>
      <c r="B5" s="1514"/>
      <c r="C5" s="1514"/>
      <c r="D5" s="1514"/>
      <c r="E5" s="1514"/>
      <c r="F5" s="1514"/>
      <c r="G5" s="1514"/>
      <c r="H5" s="1514"/>
      <c r="I5" s="1514"/>
      <c r="J5" s="1514"/>
      <c r="K5" s="1514"/>
      <c r="L5" s="1514"/>
      <c r="M5" s="1514"/>
      <c r="N5" s="1514"/>
      <c r="O5" s="1514"/>
    </row>
    <row r="6" spans="1:21" ht="18">
      <c r="A6" s="1506" t="str">
        <f>+TCOS!F9</f>
        <v>AEP Appalachian Transmission Company</v>
      </c>
      <c r="B6" s="1506"/>
      <c r="C6" s="1506"/>
      <c r="D6" s="1506"/>
      <c r="E6" s="1506"/>
      <c r="F6" s="1506"/>
      <c r="G6" s="1506"/>
      <c r="H6" s="1506"/>
      <c r="I6" s="1506"/>
      <c r="J6" s="1506"/>
      <c r="K6" s="1506"/>
      <c r="L6" s="1506"/>
      <c r="M6" s="1506"/>
      <c r="N6" s="1506"/>
      <c r="O6" s="1506"/>
    </row>
    <row r="7" spans="1:21" ht="12.75" customHeight="1">
      <c r="A7" s="81"/>
      <c r="B7" s="81"/>
      <c r="C7" s="81"/>
      <c r="D7" s="81"/>
      <c r="E7" s="81"/>
      <c r="F7" s="81"/>
      <c r="G7" s="81"/>
      <c r="H7" s="81"/>
      <c r="I7" s="81"/>
      <c r="J7" s="81"/>
      <c r="K7" s="81"/>
      <c r="L7" s="81"/>
    </row>
    <row r="8" spans="1:21" ht="12.75" customHeight="1">
      <c r="A8" s="1542" t="s">
        <v>16</v>
      </c>
      <c r="B8" s="1542"/>
      <c r="C8" s="1542"/>
      <c r="D8" s="1542"/>
      <c r="E8" s="1542"/>
      <c r="F8" s="1542"/>
      <c r="G8" s="1542"/>
      <c r="H8" s="1542"/>
      <c r="I8" s="1542"/>
      <c r="J8" s="1542"/>
      <c r="K8" s="1542"/>
      <c r="L8" s="1542"/>
      <c r="M8" s="1542"/>
      <c r="N8" s="1542"/>
      <c r="O8" s="1542"/>
    </row>
    <row r="9" spans="1:21" ht="12.75" customHeight="1">
      <c r="A9" s="1542"/>
      <c r="B9" s="1542"/>
      <c r="C9" s="1542"/>
      <c r="D9" s="1542"/>
      <c r="E9" s="1542"/>
      <c r="F9" s="1542"/>
      <c r="G9" s="1542"/>
      <c r="H9" s="1542"/>
      <c r="I9" s="1542"/>
      <c r="J9" s="1542"/>
      <c r="K9" s="1542"/>
      <c r="L9" s="1542"/>
      <c r="M9" s="1542"/>
      <c r="N9" s="1542"/>
      <c r="O9" s="1542"/>
    </row>
    <row r="10" spans="1:21">
      <c r="A10" s="1542"/>
      <c r="B10" s="1542"/>
      <c r="C10" s="1542"/>
      <c r="D10" s="1542"/>
      <c r="E10" s="1542"/>
      <c r="F10" s="1542"/>
      <c r="G10" s="1542"/>
      <c r="H10" s="1542"/>
      <c r="I10" s="1542"/>
      <c r="J10" s="1542"/>
      <c r="K10" s="1542"/>
      <c r="L10" s="1542"/>
      <c r="M10" s="1542"/>
      <c r="N10" s="1542"/>
      <c r="O10" s="1542"/>
    </row>
    <row r="11" spans="1:21">
      <c r="A11" s="1542"/>
      <c r="B11" s="1542"/>
      <c r="C11" s="1542"/>
      <c r="D11" s="1542"/>
      <c r="E11" s="1542"/>
      <c r="F11" s="1542"/>
      <c r="G11" s="1542"/>
      <c r="H11" s="1542"/>
      <c r="I11" s="1542"/>
      <c r="J11" s="1542"/>
      <c r="K11" s="1542"/>
      <c r="L11" s="1542"/>
      <c r="M11" s="1542"/>
      <c r="N11" s="1542"/>
      <c r="O11" s="1542"/>
    </row>
    <row r="12" spans="1:21">
      <c r="B12" s="1" t="s">
        <v>454</v>
      </c>
      <c r="C12" s="1"/>
      <c r="D12" s="1513" t="s">
        <v>455</v>
      </c>
      <c r="E12" s="1513"/>
      <c r="F12" s="1513"/>
      <c r="G12" s="1513"/>
      <c r="H12" s="1"/>
      <c r="I12" s="1" t="s">
        <v>323</v>
      </c>
      <c r="J12" s="1"/>
      <c r="K12" s="1" t="s">
        <v>457</v>
      </c>
      <c r="L12" s="1"/>
      <c r="M12" s="1" t="s">
        <v>377</v>
      </c>
      <c r="N12" s="1"/>
      <c r="O12" s="1" t="s">
        <v>378</v>
      </c>
      <c r="P12" s="1"/>
      <c r="Q12" s="1" t="s">
        <v>349</v>
      </c>
      <c r="R12" s="1"/>
      <c r="S12" s="1" t="s">
        <v>384</v>
      </c>
      <c r="U12" s="56" t="s">
        <v>288</v>
      </c>
    </row>
    <row r="13" spans="1:21">
      <c r="I13" s="1540" t="s">
        <v>347</v>
      </c>
      <c r="Q13" s="1543" t="s">
        <v>348</v>
      </c>
      <c r="S13" s="1540" t="s">
        <v>350</v>
      </c>
      <c r="U13" s="139" t="s">
        <v>265</v>
      </c>
    </row>
    <row r="14" spans="1:21">
      <c r="A14" s="84" t="s">
        <v>346</v>
      </c>
      <c r="B14" s="84" t="s">
        <v>342</v>
      </c>
      <c r="C14" s="84"/>
      <c r="D14" s="102" t="s">
        <v>343</v>
      </c>
      <c r="E14" s="84"/>
      <c r="F14" s="84"/>
      <c r="G14" s="84"/>
      <c r="H14" s="84"/>
      <c r="I14" s="1541"/>
      <c r="J14" s="84"/>
      <c r="K14" s="84" t="s">
        <v>344</v>
      </c>
      <c r="L14" s="84"/>
      <c r="M14" s="84" t="s">
        <v>345</v>
      </c>
      <c r="N14" s="84"/>
      <c r="O14" s="84" t="s">
        <v>282</v>
      </c>
      <c r="Q14" s="1543"/>
      <c r="S14" s="1540"/>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6"/>
      <c r="D17" s="1544"/>
      <c r="E17" s="1544"/>
      <c r="F17" s="1544"/>
      <c r="G17" s="1544"/>
      <c r="I17" s="857"/>
      <c r="K17" s="855"/>
      <c r="L17" s="75"/>
      <c r="M17" s="855"/>
      <c r="O17" s="88">
        <f>+K17-M17</f>
        <v>0</v>
      </c>
      <c r="Q17" s="104">
        <f>IF(I17="G",TCOS!L219,IF(I17="T",1,0))</f>
        <v>0</v>
      </c>
      <c r="S17" s="88">
        <f>ROUND(O17*Q17,0)</f>
        <v>0</v>
      </c>
      <c r="U17" s="858"/>
    </row>
    <row r="18" spans="1:21">
      <c r="A18" s="1"/>
      <c r="D18" s="1544"/>
      <c r="E18" s="1544"/>
      <c r="F18" s="1544"/>
      <c r="G18" s="1544"/>
      <c r="K18" s="75"/>
      <c r="L18" s="75"/>
      <c r="M18" s="75"/>
      <c r="O18" s="75"/>
      <c r="Q18" s="104"/>
      <c r="S18" s="75"/>
    </row>
    <row r="19" spans="1:21">
      <c r="A19" s="1"/>
      <c r="D19" s="1544"/>
      <c r="E19" s="1544"/>
      <c r="F19" s="1544"/>
      <c r="G19" s="154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6"/>
      <c r="D22" s="1544"/>
      <c r="E22" s="1544"/>
      <c r="F22" s="1544"/>
      <c r="G22" s="1544"/>
      <c r="I22" s="857"/>
      <c r="K22" s="855"/>
      <c r="L22" s="75"/>
      <c r="M22" s="855"/>
      <c r="O22" s="88">
        <f>+K22-M22</f>
        <v>0</v>
      </c>
      <c r="Q22" s="104">
        <f>IF(I22="G",TCOS!L219,IF(I22="T",1,0))</f>
        <v>0</v>
      </c>
      <c r="S22" s="88">
        <f>ROUND(O22*Q22,0)</f>
        <v>0</v>
      </c>
      <c r="U22" s="858"/>
    </row>
    <row r="23" spans="1:21">
      <c r="A23" s="1"/>
      <c r="D23" s="1544"/>
      <c r="E23" s="1544"/>
      <c r="F23" s="1544"/>
      <c r="G23" s="1544"/>
      <c r="K23" s="75"/>
      <c r="L23" s="75"/>
      <c r="M23" s="75"/>
      <c r="O23" s="75"/>
      <c r="Q23" s="104"/>
      <c r="S23" s="75"/>
    </row>
    <row r="24" spans="1:21">
      <c r="A24" s="1"/>
      <c r="D24" s="1544"/>
      <c r="E24" s="1544"/>
      <c r="F24" s="1544"/>
      <c r="G24" s="154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6"/>
      <c r="D27" s="1544"/>
      <c r="E27" s="1544"/>
      <c r="F27" s="1544"/>
      <c r="G27" s="1544"/>
      <c r="I27" s="857"/>
      <c r="K27" s="855"/>
      <c r="L27" s="75"/>
      <c r="M27" s="855"/>
      <c r="O27" s="88">
        <f>+K27-M27</f>
        <v>0</v>
      </c>
      <c r="Q27" s="104">
        <f>IF(I27="G",TCOS!L219,IF(I27="T",1,0))</f>
        <v>0</v>
      </c>
      <c r="S27" s="88">
        <f>ROUND(O27*Q27,0)</f>
        <v>0</v>
      </c>
      <c r="U27" s="858"/>
    </row>
    <row r="28" spans="1:21">
      <c r="A28" s="1"/>
      <c r="D28" s="1544"/>
      <c r="E28" s="1544"/>
      <c r="F28" s="1544"/>
      <c r="G28" s="1544"/>
      <c r="K28" s="75"/>
      <c r="L28" s="75"/>
      <c r="M28" s="75"/>
      <c r="O28" s="75"/>
      <c r="Q28" s="104"/>
      <c r="S28" s="75"/>
    </row>
    <row r="29" spans="1:21">
      <c r="A29" s="1"/>
      <c r="D29" s="1544"/>
      <c r="E29" s="1544"/>
      <c r="F29" s="1544"/>
      <c r="G29" s="154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F37"/>
  <sheetViews>
    <sheetView view="pageBreakPreview" topLeftCell="A4" zoomScale="90" zoomScaleNormal="80" zoomScaleSheetLayoutView="90" workbookViewId="0">
      <selection activeCell="A4" sqref="D4"/>
    </sheetView>
  </sheetViews>
  <sheetFormatPr defaultColWidth="11.42578125" defaultRowHeight="12.75"/>
  <cols>
    <col min="1" max="1" width="37.85546875" style="1265" customWidth="1"/>
    <col min="2" max="2" width="25.42578125" style="1265" customWidth="1"/>
    <col min="3" max="3" width="53.42578125" style="1265" customWidth="1"/>
    <col min="4" max="4" width="18.42578125" style="1265" customWidth="1"/>
    <col min="5" max="5" width="11.42578125" style="1265" customWidth="1"/>
    <col min="6" max="6" width="13.7109375" style="1265" bestFit="1" customWidth="1"/>
    <col min="7" max="16384" width="11.42578125" style="1265"/>
  </cols>
  <sheetData>
    <row r="1" spans="1:6" ht="15.75">
      <c r="A1" s="1264" t="s">
        <v>408</v>
      </c>
    </row>
    <row r="2" spans="1:6" ht="15.75">
      <c r="A2" s="1264" t="s">
        <v>408</v>
      </c>
    </row>
    <row r="3" spans="1:6" ht="15.75">
      <c r="A3" s="1546" t="str">
        <f>TCOS!F5</f>
        <v>AEPTCo subsidiaries in PJM</v>
      </c>
      <c r="B3" s="1546" t="s">
        <v>321</v>
      </c>
      <c r="C3" s="1546" t="s">
        <v>321</v>
      </c>
      <c r="D3" s="1546" t="s">
        <v>321</v>
      </c>
    </row>
    <row r="4" spans="1:6" ht="15.75">
      <c r="A4" s="1546" t="str">
        <f>"Cost of Service Formula Rate Using Actual/Projected FF1 Balances"</f>
        <v>Cost of Service Formula Rate Using Actual/Projected FF1 Balances</v>
      </c>
      <c r="B4" s="1546"/>
      <c r="C4" s="1546"/>
      <c r="D4" s="1546"/>
    </row>
    <row r="5" spans="1:6" ht="15.75">
      <c r="A5" s="1546" t="s">
        <v>778</v>
      </c>
      <c r="B5" s="1546"/>
      <c r="C5" s="1546"/>
      <c r="D5" s="1546"/>
    </row>
    <row r="6" spans="1:6" ht="15.75">
      <c r="A6" s="1546" t="s">
        <v>779</v>
      </c>
      <c r="B6" s="1546"/>
      <c r="C6" s="1546"/>
      <c r="D6" s="1546"/>
    </row>
    <row r="7" spans="1:6" ht="15.75">
      <c r="A7" s="1547" t="str">
        <f>TCOS!F9</f>
        <v>AEP Appalachian Transmission Company</v>
      </c>
      <c r="B7" s="1547"/>
      <c r="C7" s="1547"/>
      <c r="D7" s="1547"/>
    </row>
    <row r="8" spans="1:6" ht="15.75">
      <c r="A8" s="1267"/>
      <c r="B8" s="1268"/>
      <c r="C8" s="1268"/>
      <c r="D8" s="1268"/>
    </row>
    <row r="9" spans="1:6" ht="15.75">
      <c r="A9" s="1269"/>
      <c r="B9" s="1270"/>
      <c r="C9" s="1270"/>
      <c r="D9" s="1270"/>
    </row>
    <row r="10" spans="1:6" ht="15.75">
      <c r="A10" s="1271"/>
      <c r="B10" s="1271"/>
      <c r="C10" s="1271"/>
      <c r="D10" s="1271"/>
    </row>
    <row r="11" spans="1:6" ht="15.75">
      <c r="A11" s="1272" t="s">
        <v>780</v>
      </c>
      <c r="B11" s="1270" t="s">
        <v>454</v>
      </c>
      <c r="C11" s="1273"/>
      <c r="D11" s="1270" t="s">
        <v>455</v>
      </c>
    </row>
    <row r="12" spans="1:6" ht="15.75">
      <c r="A12" s="1266">
        <f>1</f>
        <v>1</v>
      </c>
      <c r="B12" s="1274" t="s">
        <v>781</v>
      </c>
      <c r="C12" s="1275"/>
      <c r="D12" s="1266"/>
    </row>
    <row r="13" spans="1:6" ht="15.75">
      <c r="A13" s="1266"/>
      <c r="B13" s="1274"/>
      <c r="C13" s="1275"/>
      <c r="D13" s="1266"/>
    </row>
    <row r="14" spans="1:6" ht="15.75">
      <c r="A14" s="1266"/>
      <c r="B14" s="1276"/>
      <c r="C14" s="1276"/>
      <c r="D14" s="1276"/>
    </row>
    <row r="15" spans="1:6" ht="15.75">
      <c r="A15" s="1266">
        <f>A12+1</f>
        <v>2</v>
      </c>
      <c r="B15" s="1277" t="s">
        <v>782</v>
      </c>
      <c r="C15" s="1278"/>
      <c r="D15" s="1279"/>
    </row>
    <row r="16" spans="1:6" ht="15.75">
      <c r="A16" s="1266">
        <f t="shared" ref="A16:A23" si="0">+A15+1</f>
        <v>3</v>
      </c>
      <c r="B16" s="1280" t="s">
        <v>783</v>
      </c>
      <c r="C16" s="1280"/>
      <c r="D16" s="1429">
        <f>-74671906-224855</f>
        <v>-74896761</v>
      </c>
      <c r="F16" s="1282"/>
    </row>
    <row r="17" spans="1:6" ht="15.75">
      <c r="A17" s="1266">
        <f t="shared" si="0"/>
        <v>4</v>
      </c>
      <c r="B17" s="1280" t="s">
        <v>784</v>
      </c>
      <c r="C17" s="1280"/>
      <c r="D17" s="1283">
        <v>0</v>
      </c>
      <c r="F17" s="1282"/>
    </row>
    <row r="18" spans="1:6" ht="15.75">
      <c r="A18" s="1266">
        <f t="shared" si="0"/>
        <v>5</v>
      </c>
      <c r="B18" s="1280" t="s">
        <v>785</v>
      </c>
      <c r="C18" s="1280"/>
      <c r="D18" s="1284">
        <f>+D16-D17</f>
        <v>-74896761</v>
      </c>
    </row>
    <row r="19" spans="1:6" ht="15.75">
      <c r="A19" s="1266">
        <f t="shared" si="0"/>
        <v>6</v>
      </c>
      <c r="B19" s="1280" t="s">
        <v>786</v>
      </c>
      <c r="C19" s="1280"/>
      <c r="D19" s="1281">
        <v>1652603269.1799927</v>
      </c>
    </row>
    <row r="20" spans="1:6" ht="15.75">
      <c r="A20" s="1266">
        <f t="shared" si="0"/>
        <v>7</v>
      </c>
      <c r="B20" s="1280" t="s">
        <v>787</v>
      </c>
      <c r="C20" s="1280"/>
      <c r="D20" s="1285">
        <f>+D18/D19</f>
        <v>-4.5320472491357906E-2</v>
      </c>
    </row>
    <row r="21" spans="1:6" ht="15.75">
      <c r="A21" s="1266">
        <f t="shared" si="0"/>
        <v>8</v>
      </c>
      <c r="B21" s="1280" t="s">
        <v>788</v>
      </c>
      <c r="C21" s="1280"/>
      <c r="D21" s="1317">
        <v>-7.8E-2</v>
      </c>
      <c r="E21" s="1286"/>
    </row>
    <row r="22" spans="1:6" ht="15.75">
      <c r="A22" s="1266">
        <f t="shared" si="0"/>
        <v>9</v>
      </c>
      <c r="B22" s="1280" t="s">
        <v>789</v>
      </c>
      <c r="C22" s="1280"/>
      <c r="D22" s="1287">
        <v>329771.68667034392</v>
      </c>
    </row>
    <row r="23" spans="1:6" ht="15.75">
      <c r="A23" s="1266">
        <f t="shared" si="0"/>
        <v>10</v>
      </c>
      <c r="B23" s="1280" t="str">
        <f>"Allowable TransCo PBOP Expense for current year (Ln "&amp;A21&amp;" * Ln "&amp;A22&amp;")"</f>
        <v>Allowable TransCo PBOP Expense for current year (Ln 8 * Ln 9)</v>
      </c>
      <c r="C23" s="1280"/>
      <c r="D23" s="1288">
        <f>+D21*D22</f>
        <v>-25722.191560286825</v>
      </c>
    </row>
    <row r="24" spans="1:6" ht="15.75">
      <c r="A24" s="1266"/>
      <c r="B24" s="1280"/>
      <c r="C24" s="1280"/>
      <c r="D24" s="1288"/>
    </row>
    <row r="25" spans="1:6" ht="15.75">
      <c r="A25" s="1266"/>
      <c r="B25" s="1280"/>
      <c r="C25" s="1280"/>
      <c r="D25" s="1288"/>
    </row>
    <row r="26" spans="1:6" ht="15.75">
      <c r="A26" s="1266">
        <f>+A23+1</f>
        <v>11</v>
      </c>
      <c r="B26" s="1289" t="s">
        <v>790</v>
      </c>
      <c r="C26" s="1280"/>
      <c r="D26" s="1290">
        <v>0</v>
      </c>
    </row>
    <row r="27" spans="1:6" ht="15.75">
      <c r="A27" s="1266">
        <f>+A26+1</f>
        <v>12</v>
      </c>
      <c r="B27" s="1291" t="s">
        <v>791</v>
      </c>
      <c r="C27" s="1280"/>
      <c r="D27" s="1290">
        <v>0</v>
      </c>
    </row>
    <row r="28" spans="1:6" ht="15.75">
      <c r="A28" s="1266">
        <f>+A27+1</f>
        <v>13</v>
      </c>
      <c r="B28" s="1291" t="s">
        <v>792</v>
      </c>
      <c r="C28" s="1280"/>
      <c r="D28" s="1290">
        <v>0</v>
      </c>
    </row>
    <row r="29" spans="1:6" ht="16.5" thickBot="1">
      <c r="A29" s="1292">
        <f>+A28+1</f>
        <v>14</v>
      </c>
      <c r="B29" s="1293" t="s">
        <v>793</v>
      </c>
      <c r="C29" s="1294"/>
      <c r="D29" s="1295">
        <v>-51838.433746462193</v>
      </c>
    </row>
    <row r="30" spans="1:6" ht="15.75">
      <c r="A30" s="1266">
        <f>+A29+1</f>
        <v>15</v>
      </c>
      <c r="B30" s="1276" t="s">
        <v>794</v>
      </c>
      <c r="C30" s="1276" t="str">
        <f>"(Sum Lines "&amp;A26&amp;"-"&amp;A29&amp;")"</f>
        <v>(Sum Lines 11-14)</v>
      </c>
      <c r="D30" s="1296">
        <f>SUM(D26:D29)</f>
        <v>-51838.433746462193</v>
      </c>
    </row>
    <row r="31" spans="1:6" ht="15.75">
      <c r="A31" s="1266"/>
      <c r="B31" s="1276"/>
      <c r="C31" s="1276"/>
      <c r="D31" s="1296"/>
    </row>
    <row r="32" spans="1:6" ht="15.75">
      <c r="A32" s="1266"/>
      <c r="B32" s="1276"/>
      <c r="C32" s="1276"/>
      <c r="D32" s="1296"/>
    </row>
    <row r="33" spans="1:4" s="1298" customFormat="1" ht="15.75">
      <c r="A33" s="1266">
        <f>A30+1</f>
        <v>16</v>
      </c>
      <c r="B33" s="1276" t="s">
        <v>795</v>
      </c>
      <c r="C33" s="1276" t="str">
        <f>"Line "&amp;A23&amp;" less Line "&amp;A30&amp;""</f>
        <v>Line 10 less Line 15</v>
      </c>
      <c r="D33" s="1297">
        <f>D23-D30</f>
        <v>26116.242186175368</v>
      </c>
    </row>
    <row r="34" spans="1:4" s="1298" customFormat="1" ht="15.75">
      <c r="A34" s="1266"/>
      <c r="B34" s="1276"/>
      <c r="C34" s="1276"/>
      <c r="D34" s="1297"/>
    </row>
    <row r="35" spans="1:4" ht="15.75">
      <c r="A35" s="1291" t="s">
        <v>796</v>
      </c>
    </row>
    <row r="37" spans="1:4" ht="387.75" customHeight="1">
      <c r="A37" s="1545" t="s">
        <v>797</v>
      </c>
      <c r="B37" s="1545"/>
      <c r="C37" s="1545"/>
      <c r="D37" s="1545"/>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49"/>
  <sheetViews>
    <sheetView defaultGridColor="0" view="pageBreakPreview" topLeftCell="A16" colorId="22" zoomScale="85" zoomScaleNormal="70" zoomScaleSheetLayoutView="85" workbookViewId="0">
      <selection activeCell="A4" sqref="D4"/>
    </sheetView>
  </sheetViews>
  <sheetFormatPr defaultColWidth="14.7109375" defaultRowHeight="15"/>
  <cols>
    <col min="1" max="1" width="5.7109375" style="860" customWidth="1"/>
    <col min="2" max="2" width="42.5703125" style="860" customWidth="1"/>
    <col min="3" max="3" width="17.28515625" style="860" bestFit="1" customWidth="1"/>
    <col min="4" max="4" width="16.85546875" style="860" customWidth="1"/>
    <col min="5" max="5" width="18" style="860" customWidth="1"/>
    <col min="6" max="7" width="16.28515625" style="860" bestFit="1" customWidth="1"/>
    <col min="8" max="8" width="14.7109375" style="860" customWidth="1"/>
    <col min="9" max="16384" width="14.7109375" style="860"/>
  </cols>
  <sheetData>
    <row r="1" spans="1:7" ht="15.75">
      <c r="A1" s="1004" t="s">
        <v>408</v>
      </c>
    </row>
    <row r="2" spans="1:7" ht="15.75">
      <c r="A2" s="1004" t="s">
        <v>408</v>
      </c>
    </row>
    <row r="3" spans="1:7" ht="19.5">
      <c r="B3" s="1552" t="s">
        <v>321</v>
      </c>
      <c r="C3" s="1552"/>
      <c r="D3" s="1552"/>
      <c r="E3" s="1552"/>
      <c r="F3" s="859"/>
      <c r="G3" s="859"/>
    </row>
    <row r="4" spans="1:7" ht="19.5">
      <c r="B4" s="1552" t="s">
        <v>216</v>
      </c>
      <c r="C4" s="1552"/>
      <c r="D4" s="1552"/>
      <c r="E4" s="1552"/>
      <c r="F4" s="859"/>
      <c r="G4" s="859"/>
    </row>
    <row r="5" spans="1:7" ht="19.5">
      <c r="B5" s="1552" t="s">
        <v>217</v>
      </c>
      <c r="C5" s="1552"/>
      <c r="D5" s="1552"/>
      <c r="E5" s="1552"/>
      <c r="F5" s="859"/>
      <c r="G5" s="859"/>
    </row>
    <row r="6" spans="1:7" ht="19.5">
      <c r="B6" s="1552" t="s">
        <v>218</v>
      </c>
      <c r="C6" s="1552"/>
      <c r="D6" s="1552"/>
      <c r="E6" s="1552"/>
      <c r="F6" s="859"/>
      <c r="G6" s="859"/>
    </row>
    <row r="7" spans="1:7" ht="19.5">
      <c r="B7" s="1553" t="s">
        <v>1033</v>
      </c>
      <c r="C7" s="1553"/>
      <c r="D7" s="1553"/>
      <c r="E7" s="1553"/>
      <c r="F7" s="859"/>
      <c r="G7" s="859"/>
    </row>
    <row r="8" spans="1:7" ht="19.5">
      <c r="B8" s="1552"/>
      <c r="C8" s="1552"/>
      <c r="D8" s="1552"/>
      <c r="E8" s="1552"/>
      <c r="F8" s="859"/>
      <c r="G8" s="859"/>
    </row>
    <row r="9" spans="1:7" ht="19.5">
      <c r="B9" s="1554" t="s">
        <v>801</v>
      </c>
      <c r="C9" s="1462"/>
      <c r="D9" s="1462"/>
      <c r="E9" s="1462"/>
      <c r="F9" s="859"/>
      <c r="G9" s="859"/>
    </row>
    <row r="11" spans="1:7">
      <c r="B11" s="861"/>
      <c r="C11" s="861"/>
      <c r="D11" s="862"/>
    </row>
    <row r="12" spans="1:7" ht="15" customHeight="1">
      <c r="B12" s="861"/>
      <c r="C12" s="861"/>
      <c r="D12" s="862"/>
    </row>
    <row r="13" spans="1:7" ht="15.75">
      <c r="B13" s="861"/>
      <c r="C13" s="863" t="s">
        <v>33</v>
      </c>
      <c r="D13" s="863" t="s">
        <v>35</v>
      </c>
    </row>
    <row r="14" spans="1:7" ht="16.5" thickBot="1">
      <c r="B14" s="862"/>
      <c r="C14" s="863" t="s">
        <v>34</v>
      </c>
      <c r="D14" s="864" t="s">
        <v>287</v>
      </c>
    </row>
    <row r="15" spans="1:7">
      <c r="B15" s="865" t="s">
        <v>36</v>
      </c>
      <c r="C15" s="866"/>
      <c r="D15" s="131"/>
    </row>
    <row r="16" spans="1:7">
      <c r="B16" s="867"/>
      <c r="C16" s="868"/>
      <c r="D16" s="132"/>
    </row>
    <row r="17" spans="2:5">
      <c r="B17" s="1388" t="s">
        <v>944</v>
      </c>
      <c r="C17" s="153">
        <v>351</v>
      </c>
      <c r="D17" s="1319">
        <v>0</v>
      </c>
      <c r="E17" s="869"/>
    </row>
    <row r="18" spans="2:5">
      <c r="B18" s="1389" t="s">
        <v>945</v>
      </c>
      <c r="C18" s="153">
        <v>352</v>
      </c>
      <c r="D18" s="140">
        <v>2.2200000000000001E-2</v>
      </c>
      <c r="E18" s="140"/>
    </row>
    <row r="19" spans="2:5">
      <c r="B19" s="1389" t="s">
        <v>946</v>
      </c>
      <c r="C19" s="153">
        <v>353</v>
      </c>
      <c r="D19" s="140">
        <v>2.75E-2</v>
      </c>
      <c r="E19" s="869"/>
    </row>
    <row r="20" spans="2:5">
      <c r="B20" s="1389" t="s">
        <v>947</v>
      </c>
      <c r="C20" s="153">
        <v>354</v>
      </c>
      <c r="D20" s="140">
        <v>1.6299999999999999E-2</v>
      </c>
      <c r="E20" s="869"/>
    </row>
    <row r="21" spans="2:5">
      <c r="B21" s="1389" t="s">
        <v>948</v>
      </c>
      <c r="C21" s="153">
        <v>355</v>
      </c>
      <c r="D21" s="140">
        <v>3.7199999999999997E-2</v>
      </c>
      <c r="E21" s="140"/>
    </row>
    <row r="22" spans="2:5">
      <c r="B22" s="1389" t="s">
        <v>949</v>
      </c>
      <c r="C22" s="153">
        <v>356</v>
      </c>
      <c r="D22" s="140">
        <v>1.9900000000000001E-2</v>
      </c>
      <c r="E22" s="871"/>
    </row>
    <row r="23" spans="2:5">
      <c r="B23" s="1389" t="s">
        <v>950</v>
      </c>
      <c r="C23" s="153">
        <v>357</v>
      </c>
      <c r="D23" s="140">
        <v>2.4E-2</v>
      </c>
      <c r="E23" s="869"/>
    </row>
    <row r="24" spans="2:5">
      <c r="B24" s="1389" t="s">
        <v>951</v>
      </c>
      <c r="C24" s="153">
        <v>358</v>
      </c>
      <c r="D24" s="140">
        <v>4.6399999999999997E-2</v>
      </c>
      <c r="E24" s="869"/>
    </row>
    <row r="25" spans="2:5">
      <c r="B25" s="870"/>
      <c r="C25" s="153"/>
      <c r="D25" s="140"/>
      <c r="E25" s="869"/>
    </row>
    <row r="26" spans="2:5" ht="15.75" thickBot="1">
      <c r="B26" s="870"/>
      <c r="C26" s="153"/>
      <c r="D26" s="140"/>
      <c r="E26" s="869"/>
    </row>
    <row r="27" spans="2:5">
      <c r="B27" s="865" t="s">
        <v>876</v>
      </c>
      <c r="C27" s="866"/>
      <c r="D27" s="131"/>
      <c r="E27" s="869"/>
    </row>
    <row r="28" spans="2:5">
      <c r="B28" s="870"/>
      <c r="C28" s="153"/>
      <c r="D28" s="140"/>
      <c r="E28" s="869"/>
    </row>
    <row r="29" spans="2:5">
      <c r="B29" s="1389" t="s">
        <v>945</v>
      </c>
      <c r="C29" s="153">
        <v>390</v>
      </c>
      <c r="D29" s="1319">
        <v>2.06E-2</v>
      </c>
      <c r="E29" s="869"/>
    </row>
    <row r="30" spans="2:5">
      <c r="B30" s="1389" t="s">
        <v>952</v>
      </c>
      <c r="C30" s="153">
        <v>391</v>
      </c>
      <c r="D30" s="1319">
        <v>3.2500000000000001E-2</v>
      </c>
      <c r="E30" s="869"/>
    </row>
    <row r="31" spans="2:5">
      <c r="B31" s="1389" t="s">
        <v>953</v>
      </c>
      <c r="C31" s="153">
        <v>392</v>
      </c>
      <c r="D31" s="1319">
        <v>3.4500000000000003E-2</v>
      </c>
      <c r="E31" s="869"/>
    </row>
    <row r="32" spans="2:5">
      <c r="B32" s="1389" t="s">
        <v>877</v>
      </c>
      <c r="C32" s="153">
        <v>393</v>
      </c>
      <c r="D32" s="1319">
        <v>1.78E-2</v>
      </c>
      <c r="E32" s="869"/>
    </row>
    <row r="33" spans="2:5">
      <c r="B33" s="1389" t="s">
        <v>954</v>
      </c>
      <c r="C33" s="153">
        <v>394</v>
      </c>
      <c r="D33" s="1319">
        <v>2.5899999999999999E-2</v>
      </c>
      <c r="E33" s="869"/>
    </row>
    <row r="34" spans="2:5">
      <c r="B34" s="1389" t="s">
        <v>878</v>
      </c>
      <c r="C34" s="153">
        <v>395</v>
      </c>
      <c r="D34" s="1319">
        <v>3.5000000000000003E-2</v>
      </c>
      <c r="E34" s="869"/>
    </row>
    <row r="35" spans="2:5">
      <c r="B35" s="1389" t="s">
        <v>955</v>
      </c>
      <c r="C35" s="153">
        <v>397</v>
      </c>
      <c r="D35" s="1319">
        <v>4.1599999999999998E-2</v>
      </c>
      <c r="E35" s="869"/>
    </row>
    <row r="36" spans="2:5">
      <c r="B36" s="1389" t="s">
        <v>956</v>
      </c>
      <c r="C36" s="153">
        <v>398</v>
      </c>
      <c r="D36" s="1319">
        <v>5.0200000000000009E-2</v>
      </c>
      <c r="E36" s="869"/>
    </row>
    <row r="37" spans="2:5">
      <c r="B37" s="870"/>
      <c r="C37" s="153"/>
      <c r="D37" s="140">
        <v>2.7099999999999999E-2</v>
      </c>
      <c r="E37" s="869"/>
    </row>
    <row r="38" spans="2:5" ht="64.900000000000006" customHeight="1">
      <c r="B38" s="1548" t="s">
        <v>1034</v>
      </c>
      <c r="C38" s="1549"/>
      <c r="D38" s="1549"/>
      <c r="E38" s="1549"/>
    </row>
    <row r="39" spans="2:5">
      <c r="B39" s="872"/>
      <c r="C39" s="873"/>
      <c r="D39" s="873"/>
      <c r="E39" s="873"/>
    </row>
    <row r="40" spans="2:5" ht="15.75">
      <c r="B40" s="874" t="s">
        <v>64</v>
      </c>
      <c r="C40" s="875" t="s">
        <v>615</v>
      </c>
      <c r="D40" s="875" t="s">
        <v>616</v>
      </c>
      <c r="E40" s="876" t="s">
        <v>539</v>
      </c>
    </row>
    <row r="41" spans="2:5">
      <c r="B41" s="877" t="s">
        <v>538</v>
      </c>
      <c r="C41" s="878">
        <v>4710200340</v>
      </c>
      <c r="D41" s="878">
        <v>170051684</v>
      </c>
      <c r="E41" s="879">
        <f>C41+D41</f>
        <v>4880252024</v>
      </c>
    </row>
    <row r="42" spans="2:5">
      <c r="B42" s="877" t="s">
        <v>537</v>
      </c>
      <c r="C42" s="878">
        <v>4481209220</v>
      </c>
      <c r="D42" s="878">
        <v>167161950</v>
      </c>
      <c r="E42" s="879">
        <f>C42+D42</f>
        <v>4648371170</v>
      </c>
    </row>
    <row r="43" spans="2:5">
      <c r="B43" s="877" t="s">
        <v>222</v>
      </c>
      <c r="C43" s="878">
        <f>AVERAGE(C41:C42)</f>
        <v>4595704780</v>
      </c>
      <c r="D43" s="878">
        <f>AVERAGE(D41:D42)</f>
        <v>168606817</v>
      </c>
      <c r="E43" s="879">
        <f>C43+D43</f>
        <v>4764311597</v>
      </c>
    </row>
    <row r="44" spans="2:5">
      <c r="B44" s="880" t="s">
        <v>540</v>
      </c>
      <c r="C44" s="878">
        <v>102977731</v>
      </c>
      <c r="D44" s="878">
        <v>3418985</v>
      </c>
      <c r="E44" s="879">
        <f>C44+D44</f>
        <v>106396716</v>
      </c>
    </row>
    <row r="45" spans="2:5" ht="15.75">
      <c r="B45" s="881" t="s">
        <v>37</v>
      </c>
      <c r="C45" s="882" t="s">
        <v>408</v>
      </c>
      <c r="D45" s="882" t="s">
        <v>408</v>
      </c>
      <c r="E45" s="883">
        <f>E44/E43</f>
        <v>2.2332022965709478E-2</v>
      </c>
    </row>
    <row r="46" spans="2:5">
      <c r="B46" s="884"/>
      <c r="C46" s="885"/>
      <c r="D46" s="884"/>
      <c r="E46" s="884"/>
    </row>
    <row r="47" spans="2:5">
      <c r="B47" s="1550" t="s">
        <v>621</v>
      </c>
      <c r="C47" s="1551"/>
      <c r="D47" s="1551"/>
      <c r="E47" s="1551"/>
    </row>
    <row r="48" spans="2:5">
      <c r="B48" s="1551"/>
      <c r="C48" s="1551"/>
      <c r="D48" s="1551"/>
      <c r="E48" s="1551"/>
    </row>
    <row r="49" spans="2:5" ht="63" customHeight="1">
      <c r="B49" s="1551"/>
      <c r="C49" s="1551"/>
      <c r="D49" s="1551"/>
      <c r="E49" s="1551"/>
    </row>
  </sheetData>
  <mergeCells count="9">
    <mergeCell ref="B38:E38"/>
    <mergeCell ref="B47:E49"/>
    <mergeCell ref="B3:E3"/>
    <mergeCell ref="B4:E4"/>
    <mergeCell ref="B5:E5"/>
    <mergeCell ref="B6:E6"/>
    <mergeCell ref="B7:E7"/>
    <mergeCell ref="B8:E8"/>
    <mergeCell ref="B9:E9"/>
  </mergeCells>
  <phoneticPr fontId="2" type="noConversion"/>
  <conditionalFormatting sqref="B3:B9 H3:IV10 C4:E8 F4:G9 B11:IV11 F12:IV65536 B50:E65536">
    <cfRule type="cellIs" dxfId="3" priority="4" stopIfTrue="1" operator="lessThan">
      <formula>0</formula>
    </cfRule>
  </conditionalFormatting>
  <conditionalFormatting sqref="B24:D37">
    <cfRule type="cellIs" dxfId="2" priority="2" stopIfTrue="1" operator="lessThan">
      <formula>0</formula>
    </cfRule>
  </conditionalFormatting>
  <conditionalFormatting sqref="C40:E45">
    <cfRule type="cellIs" dxfId="1" priority="1" stopIfTrue="1" operator="lessThan">
      <formula>0</formula>
    </cfRule>
  </conditionalFormatting>
  <conditionalFormatting sqref="D12:D13 B12:C23 E12:E37 D15:D23 B38:B44 D46 B46:B47">
    <cfRule type="cellIs" dxfId="0" priority="3"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zoomScale="75" zoomScaleNormal="75" zoomScaleSheetLayoutView="75" workbookViewId="0">
      <selection activeCell="A4" sqref="D4"/>
    </sheetView>
  </sheetViews>
  <sheetFormatPr defaultRowHeight="12.75"/>
  <cols>
    <col min="1" max="1" width="4.5703125" style="886" customWidth="1"/>
    <col min="2" max="2" width="68.140625" style="886" customWidth="1"/>
    <col min="3" max="3" width="18.140625" style="886" customWidth="1"/>
    <col min="4" max="4" width="2.140625" style="886" customWidth="1"/>
    <col min="5" max="5" width="17.28515625" style="886" customWidth="1"/>
    <col min="6" max="6" width="16.28515625" style="886" customWidth="1"/>
    <col min="7" max="7" width="14.5703125" style="886" customWidth="1"/>
    <col min="8" max="8" width="17.5703125" style="886" customWidth="1"/>
    <col min="9" max="9" width="14.42578125" style="886" customWidth="1"/>
    <col min="10" max="10" width="15.7109375" style="886" customWidth="1"/>
    <col min="11" max="16384" width="9.140625" style="886"/>
  </cols>
  <sheetData>
    <row r="1" spans="1:10" ht="15.75">
      <c r="A1" s="1004" t="s">
        <v>408</v>
      </c>
    </row>
    <row r="2" spans="1:10" ht="15.75">
      <c r="A2" s="1004" t="s">
        <v>408</v>
      </c>
    </row>
    <row r="3" spans="1:10" ht="39.6" customHeight="1">
      <c r="A3" s="1556" t="s">
        <v>507</v>
      </c>
      <c r="B3" s="1556"/>
      <c r="C3" s="1556"/>
      <c r="D3" s="1556"/>
      <c r="E3" s="1556"/>
      <c r="F3" s="1556"/>
      <c r="G3" s="1556"/>
      <c r="H3" s="1556"/>
      <c r="I3" s="1556"/>
      <c r="J3" s="1556"/>
    </row>
    <row r="4" spans="1:10">
      <c r="A4" s="1556" t="str">
        <f>"Consolidation of Operating Companies' Capital Structure @ December 31, "&amp;TCOS!L4&amp;""</f>
        <v>Consolidation of Operating Companies' Capital Structure @ December 31, 2024</v>
      </c>
      <c r="B4" s="1556"/>
      <c r="C4" s="1556"/>
      <c r="D4" s="1556"/>
      <c r="E4" s="1556"/>
      <c r="F4" s="1556"/>
      <c r="G4" s="1556"/>
      <c r="H4" s="1556"/>
      <c r="I4" s="1556"/>
      <c r="J4" s="1556"/>
    </row>
    <row r="5" spans="1:10">
      <c r="A5" s="1556" t="s">
        <v>248</v>
      </c>
      <c r="B5" s="1556"/>
      <c r="C5" s="1556"/>
      <c r="D5" s="1556"/>
      <c r="E5" s="1556"/>
      <c r="F5" s="1556"/>
      <c r="G5" s="1556"/>
      <c r="H5" s="1556"/>
      <c r="I5" s="1556"/>
      <c r="J5" s="1556"/>
    </row>
    <row r="6" spans="1:10" ht="17.45" customHeight="1"/>
    <row r="7" spans="1:10" ht="76.5">
      <c r="A7" s="886" t="s">
        <v>461</v>
      </c>
      <c r="C7" s="887" t="s">
        <v>508</v>
      </c>
      <c r="D7" s="887"/>
      <c r="E7" s="887" t="s">
        <v>509</v>
      </c>
      <c r="F7" s="887" t="s">
        <v>510</v>
      </c>
      <c r="G7" s="887" t="s">
        <v>511</v>
      </c>
      <c r="H7" s="887" t="s">
        <v>512</v>
      </c>
      <c r="I7" s="887" t="s">
        <v>513</v>
      </c>
      <c r="J7" s="887" t="s">
        <v>514</v>
      </c>
    </row>
    <row r="8" spans="1:10" ht="15">
      <c r="A8" s="845" t="s">
        <v>515</v>
      </c>
    </row>
    <row r="9" spans="1:10">
      <c r="A9" s="886">
        <v>1</v>
      </c>
      <c r="B9" s="849" t="s">
        <v>338</v>
      </c>
      <c r="C9" s="852"/>
      <c r="D9" s="852"/>
      <c r="E9" s="852"/>
      <c r="F9" s="852"/>
      <c r="G9" s="852"/>
      <c r="H9" s="852"/>
      <c r="I9" s="852"/>
      <c r="J9" s="832">
        <f>SUM(C9:I9)</f>
        <v>0</v>
      </c>
    </row>
    <row r="10" spans="1:10">
      <c r="A10" s="886">
        <f>A9+1</f>
        <v>2</v>
      </c>
      <c r="B10" s="849" t="s">
        <v>339</v>
      </c>
      <c r="C10" s="852"/>
      <c r="D10" s="852"/>
      <c r="E10" s="852"/>
      <c r="F10" s="852"/>
      <c r="G10" s="852"/>
      <c r="H10" s="852"/>
      <c r="I10" s="852"/>
      <c r="J10" s="832">
        <f>SUM(C10:I10)</f>
        <v>0</v>
      </c>
    </row>
    <row r="11" spans="1:10">
      <c r="A11" s="886">
        <f>A10+1</f>
        <v>3</v>
      </c>
      <c r="B11" s="850" t="s">
        <v>23</v>
      </c>
      <c r="C11" s="852"/>
      <c r="D11" s="852"/>
      <c r="E11" s="852"/>
      <c r="F11" s="852"/>
      <c r="G11" s="852"/>
      <c r="H11" s="852"/>
      <c r="I11" s="852"/>
      <c r="J11" s="832">
        <f>SUM(C11:I11)</f>
        <v>0</v>
      </c>
    </row>
    <row r="12" spans="1:10">
      <c r="A12" s="886">
        <f>A11+1</f>
        <v>4</v>
      </c>
      <c r="B12" s="850" t="s">
        <v>17</v>
      </c>
      <c r="C12" s="852"/>
      <c r="D12" s="852"/>
      <c r="E12" s="852"/>
      <c r="F12" s="852"/>
      <c r="G12" s="852"/>
      <c r="H12" s="852"/>
      <c r="I12" s="852"/>
      <c r="J12" s="832">
        <f>SUM(C12:I12)</f>
        <v>0</v>
      </c>
    </row>
    <row r="13" spans="1:10">
      <c r="A13" s="886">
        <f>A12+1</f>
        <v>5</v>
      </c>
      <c r="B13" s="850" t="str">
        <f>"Less: Fair Value Hedges (See Note on Ln "&amp;A16&amp;" below)"</f>
        <v>Less: Fair Value Hedges (See Note on Ln 7 below)</v>
      </c>
      <c r="C13" s="147"/>
      <c r="D13" s="147"/>
      <c r="E13" s="147"/>
      <c r="F13" s="147"/>
      <c r="G13" s="147"/>
      <c r="H13" s="147"/>
      <c r="I13" s="147"/>
      <c r="J13" s="888">
        <f>SUM(C13:I13)</f>
        <v>0</v>
      </c>
    </row>
    <row r="14" spans="1:10">
      <c r="A14" s="886">
        <f>A13+1</f>
        <v>6</v>
      </c>
      <c r="B14" s="851" t="s">
        <v>59</v>
      </c>
      <c r="C14" s="889">
        <f t="shared" ref="C14:J14" si="0">C9-C10+C11+C12-C13</f>
        <v>0</v>
      </c>
      <c r="D14" s="889"/>
      <c r="E14" s="889">
        <f t="shared" si="0"/>
        <v>0</v>
      </c>
      <c r="F14" s="889">
        <f t="shared" si="0"/>
        <v>0</v>
      </c>
      <c r="G14" s="889">
        <f t="shared" si="0"/>
        <v>0</v>
      </c>
      <c r="H14" s="889">
        <f t="shared" si="0"/>
        <v>0</v>
      </c>
      <c r="I14" s="889">
        <f t="shared" si="0"/>
        <v>0</v>
      </c>
      <c r="J14" s="889">
        <f t="shared" si="0"/>
        <v>0</v>
      </c>
    </row>
    <row r="16" spans="1:10" ht="12.75" customHeight="1">
      <c r="A16" s="886">
        <f>A14+1</f>
        <v>7</v>
      </c>
      <c r="B16" s="1555" t="s">
        <v>547</v>
      </c>
      <c r="C16" s="1555"/>
      <c r="D16" s="1555"/>
      <c r="E16" s="1555"/>
      <c r="F16" s="1555"/>
      <c r="G16" s="1555"/>
      <c r="H16" s="1555"/>
      <c r="I16" s="1555"/>
      <c r="J16" s="1555"/>
    </row>
    <row r="17" spans="1:10" ht="12.75" customHeight="1">
      <c r="B17" s="890"/>
      <c r="C17" s="890"/>
      <c r="D17" s="890"/>
      <c r="E17" s="890"/>
      <c r="F17" s="890"/>
      <c r="G17" s="890"/>
      <c r="H17" s="890"/>
      <c r="I17" s="890"/>
      <c r="J17" s="890"/>
    </row>
    <row r="18" spans="1:10" ht="15">
      <c r="A18" s="845" t="s">
        <v>516</v>
      </c>
    </row>
    <row r="19" spans="1:10">
      <c r="A19" s="886">
        <f>A16+1</f>
        <v>8</v>
      </c>
      <c r="B19" s="849" t="s">
        <v>340</v>
      </c>
      <c r="C19" s="146"/>
      <c r="D19" s="146"/>
      <c r="E19" s="146"/>
      <c r="F19" s="146"/>
      <c r="G19" s="146"/>
      <c r="H19" s="146"/>
      <c r="I19" s="146"/>
      <c r="J19" s="488">
        <f t="shared" ref="J19:J24" si="1">SUM(C19:I19)</f>
        <v>0</v>
      </c>
    </row>
    <row r="20" spans="1:10">
      <c r="A20" s="886">
        <f t="shared" ref="A20:A25" si="2">A19+1</f>
        <v>9</v>
      </c>
      <c r="B20" s="849" t="s">
        <v>333</v>
      </c>
      <c r="C20" s="146"/>
      <c r="D20" s="146"/>
      <c r="E20" s="146"/>
      <c r="F20" s="146"/>
      <c r="G20" s="146"/>
      <c r="H20" s="146"/>
      <c r="I20" s="146"/>
      <c r="J20" s="488">
        <f t="shared" si="1"/>
        <v>0</v>
      </c>
    </row>
    <row r="21" spans="1:10">
      <c r="A21" s="886">
        <f t="shared" si="2"/>
        <v>10</v>
      </c>
      <c r="B21" s="849" t="s">
        <v>334</v>
      </c>
      <c r="C21" s="146"/>
      <c r="D21" s="146"/>
      <c r="E21" s="146"/>
      <c r="F21" s="146"/>
      <c r="G21" s="146"/>
      <c r="H21" s="146"/>
      <c r="I21" s="146"/>
      <c r="J21" s="488">
        <f t="shared" si="1"/>
        <v>0</v>
      </c>
    </row>
    <row r="22" spans="1:10">
      <c r="A22" s="886">
        <f t="shared" si="2"/>
        <v>11</v>
      </c>
      <c r="B22" s="849" t="s">
        <v>335</v>
      </c>
      <c r="C22" s="852"/>
      <c r="D22" s="852"/>
      <c r="E22" s="852"/>
      <c r="F22" s="852"/>
      <c r="G22" s="852"/>
      <c r="H22" s="852"/>
      <c r="I22" s="852"/>
      <c r="J22" s="832">
        <f t="shared" si="1"/>
        <v>0</v>
      </c>
    </row>
    <row r="23" spans="1:10">
      <c r="A23" s="886">
        <f t="shared" si="2"/>
        <v>12</v>
      </c>
      <c r="B23" s="849" t="s">
        <v>336</v>
      </c>
      <c r="C23" s="852"/>
      <c r="D23" s="852"/>
      <c r="E23" s="852"/>
      <c r="F23" s="852"/>
      <c r="G23" s="852"/>
      <c r="H23" s="852"/>
      <c r="I23" s="852"/>
      <c r="J23" s="832">
        <f t="shared" si="1"/>
        <v>0</v>
      </c>
    </row>
    <row r="24" spans="1:10">
      <c r="A24" s="886">
        <f t="shared" si="2"/>
        <v>13</v>
      </c>
      <c r="B24" s="891" t="s">
        <v>517</v>
      </c>
      <c r="C24" s="147"/>
      <c r="D24" s="147"/>
      <c r="E24" s="147"/>
      <c r="F24" s="147"/>
      <c r="G24" s="147"/>
      <c r="H24" s="147"/>
      <c r="I24" s="147"/>
      <c r="J24" s="888">
        <f t="shared" si="1"/>
        <v>0</v>
      </c>
    </row>
    <row r="25" spans="1:10">
      <c r="A25" s="886">
        <f t="shared" si="2"/>
        <v>14</v>
      </c>
      <c r="B25" s="892" t="s">
        <v>60</v>
      </c>
      <c r="C25" s="893">
        <f t="shared" ref="C25:J25" si="3">C19+C20+C21-C22-C23-C24</f>
        <v>0</v>
      </c>
      <c r="D25" s="893"/>
      <c r="E25" s="893">
        <f t="shared" si="3"/>
        <v>0</v>
      </c>
      <c r="F25" s="893">
        <f t="shared" si="3"/>
        <v>0</v>
      </c>
      <c r="G25" s="893">
        <f t="shared" si="3"/>
        <v>0</v>
      </c>
      <c r="H25" s="893">
        <f t="shared" si="3"/>
        <v>0</v>
      </c>
      <c r="I25" s="893">
        <f t="shared" si="3"/>
        <v>0</v>
      </c>
      <c r="J25" s="893">
        <f t="shared" si="3"/>
        <v>0</v>
      </c>
    </row>
    <row r="27" spans="1:10" ht="15">
      <c r="A27" s="845" t="s">
        <v>518</v>
      </c>
      <c r="B27" s="894"/>
      <c r="C27" s="894"/>
      <c r="D27" s="894"/>
      <c r="E27" s="894"/>
    </row>
    <row r="28" spans="1:10">
      <c r="A28" s="886">
        <f>A25+1</f>
        <v>15</v>
      </c>
      <c r="B28" s="848" t="s">
        <v>519</v>
      </c>
      <c r="C28" s="853"/>
      <c r="D28" s="915"/>
      <c r="E28" s="916"/>
      <c r="F28" s="915"/>
      <c r="G28" s="915"/>
      <c r="H28" s="853"/>
      <c r="I28" s="915"/>
      <c r="J28" s="895"/>
    </row>
    <row r="29" spans="1:10">
      <c r="A29" s="886">
        <f>A28+1</f>
        <v>16</v>
      </c>
      <c r="B29" s="848" t="s">
        <v>520</v>
      </c>
      <c r="C29" s="854"/>
      <c r="D29" s="917"/>
      <c r="E29" s="854"/>
      <c r="F29" s="917"/>
      <c r="G29" s="917"/>
      <c r="H29" s="854"/>
      <c r="I29" s="917"/>
      <c r="J29" s="896"/>
    </row>
    <row r="30" spans="1:10">
      <c r="A30" s="886">
        <f>A29+1</f>
        <v>17</v>
      </c>
      <c r="B30" s="848" t="s">
        <v>521</v>
      </c>
      <c r="C30" s="146"/>
      <c r="D30" s="918"/>
      <c r="E30" s="146"/>
      <c r="F30" s="918"/>
      <c r="G30" s="918"/>
      <c r="H30" s="146"/>
      <c r="I30" s="918"/>
    </row>
    <row r="31" spans="1:10">
      <c r="A31" s="886">
        <f>A30+1</f>
        <v>18</v>
      </c>
      <c r="B31" s="848" t="str">
        <f>"Monetary Value (Ln "&amp;A29&amp;" * Ln "&amp;A30&amp;")"</f>
        <v>Monetary Value (Ln 16 * Ln 17)</v>
      </c>
      <c r="C31" s="487">
        <f t="shared" ref="C31:I31" si="4">C29*C30</f>
        <v>0</v>
      </c>
      <c r="D31" s="487"/>
      <c r="E31" s="487">
        <f t="shared" si="4"/>
        <v>0</v>
      </c>
      <c r="F31" s="487">
        <f t="shared" si="4"/>
        <v>0</v>
      </c>
      <c r="G31" s="487">
        <f t="shared" si="4"/>
        <v>0</v>
      </c>
      <c r="H31" s="487">
        <f t="shared" si="4"/>
        <v>0</v>
      </c>
      <c r="I31" s="487">
        <f t="shared" si="4"/>
        <v>0</v>
      </c>
      <c r="J31" s="893">
        <f>SUM(C31:I31)</f>
        <v>0</v>
      </c>
    </row>
    <row r="32" spans="1:10">
      <c r="A32" s="886">
        <f>A31+1</f>
        <v>19</v>
      </c>
      <c r="B32" s="848" t="str">
        <f>"Dividend Amount (Ln "&amp;A28&amp;" * Ln "&amp;A31&amp;")"</f>
        <v>Dividend Amount (Ln 15 * Ln 18)</v>
      </c>
      <c r="C32" s="487">
        <f t="shared" ref="C32:I32" si="5">C31*C28</f>
        <v>0</v>
      </c>
      <c r="D32" s="487"/>
      <c r="E32" s="487">
        <f t="shared" si="5"/>
        <v>0</v>
      </c>
      <c r="F32" s="487">
        <f t="shared" si="5"/>
        <v>0</v>
      </c>
      <c r="G32" s="487">
        <f t="shared" si="5"/>
        <v>0</v>
      </c>
      <c r="H32" s="487">
        <f t="shared" si="5"/>
        <v>0</v>
      </c>
      <c r="I32" s="487">
        <f t="shared" si="5"/>
        <v>0</v>
      </c>
      <c r="J32" s="893">
        <f>SUM(C32:I32)</f>
        <v>0</v>
      </c>
    </row>
    <row r="34" spans="1:10">
      <c r="A34" s="886">
        <f>A32+1</f>
        <v>20</v>
      </c>
      <c r="B34" s="848" t="s">
        <v>519</v>
      </c>
      <c r="C34" s="853"/>
      <c r="D34" s="915"/>
      <c r="E34" s="916"/>
      <c r="F34" s="915"/>
      <c r="G34" s="915"/>
      <c r="H34" s="853"/>
      <c r="I34" s="915"/>
    </row>
    <row r="35" spans="1:10">
      <c r="A35" s="886">
        <f>A34+1</f>
        <v>21</v>
      </c>
      <c r="B35" s="848" t="s">
        <v>520</v>
      </c>
      <c r="C35" s="854"/>
      <c r="D35" s="917"/>
      <c r="E35" s="854"/>
      <c r="F35" s="917"/>
      <c r="G35" s="917"/>
      <c r="H35" s="854"/>
      <c r="I35" s="917"/>
    </row>
    <row r="36" spans="1:10">
      <c r="A36" s="886">
        <f>A35+1</f>
        <v>22</v>
      </c>
      <c r="B36" s="848" t="s">
        <v>521</v>
      </c>
      <c r="C36" s="146"/>
      <c r="D36" s="918"/>
      <c r="E36" s="146"/>
      <c r="F36" s="918"/>
      <c r="G36" s="918"/>
      <c r="H36" s="146"/>
      <c r="I36" s="918"/>
    </row>
    <row r="37" spans="1:10">
      <c r="A37" s="886">
        <f>A36+1</f>
        <v>23</v>
      </c>
      <c r="B37" s="848" t="str">
        <f>"Monetary Value (Ln "&amp;A35&amp;" * Ln "&amp;A36&amp;")"</f>
        <v>Monetary Value (Ln 21 * Ln 22)</v>
      </c>
      <c r="C37" s="487">
        <f t="shared" ref="C37:I37" si="6">C35*C36</f>
        <v>0</v>
      </c>
      <c r="D37" s="487"/>
      <c r="E37" s="487">
        <f t="shared" si="6"/>
        <v>0</v>
      </c>
      <c r="F37" s="487">
        <f t="shared" si="6"/>
        <v>0</v>
      </c>
      <c r="G37" s="487">
        <f t="shared" si="6"/>
        <v>0</v>
      </c>
      <c r="H37" s="487">
        <f t="shared" si="6"/>
        <v>0</v>
      </c>
      <c r="I37" s="487">
        <f t="shared" si="6"/>
        <v>0</v>
      </c>
      <c r="J37" s="893">
        <f>SUM(C37:I37)</f>
        <v>0</v>
      </c>
    </row>
    <row r="38" spans="1:10">
      <c r="A38" s="886">
        <f>A37+1</f>
        <v>24</v>
      </c>
      <c r="B38" s="848" t="str">
        <f>"Dividend Amount (Ln "&amp;A34&amp;" * Ln "&amp;A37&amp;")"</f>
        <v>Dividend Amount (Ln 20 * Ln 23)</v>
      </c>
      <c r="C38" s="487">
        <f t="shared" ref="C38:I38" si="7">C37*C34</f>
        <v>0</v>
      </c>
      <c r="D38" s="487"/>
      <c r="E38" s="487">
        <f t="shared" si="7"/>
        <v>0</v>
      </c>
      <c r="F38" s="487">
        <f t="shared" si="7"/>
        <v>0</v>
      </c>
      <c r="G38" s="487">
        <f t="shared" si="7"/>
        <v>0</v>
      </c>
      <c r="H38" s="487">
        <f t="shared" si="7"/>
        <v>0</v>
      </c>
      <c r="I38" s="487">
        <f t="shared" si="7"/>
        <v>0</v>
      </c>
      <c r="J38" s="893">
        <f>SUM(C38:I38)</f>
        <v>0</v>
      </c>
    </row>
    <row r="40" spans="1:10">
      <c r="A40" s="886">
        <f>A38+1</f>
        <v>25</v>
      </c>
      <c r="B40" s="848" t="s">
        <v>519</v>
      </c>
      <c r="C40" s="853"/>
      <c r="D40" s="915"/>
      <c r="E40" s="916"/>
      <c r="F40" s="915"/>
      <c r="G40" s="915"/>
      <c r="H40" s="853"/>
      <c r="I40" s="915"/>
    </row>
    <row r="41" spans="1:10">
      <c r="A41" s="886">
        <f>A40+1</f>
        <v>26</v>
      </c>
      <c r="B41" s="848" t="s">
        <v>520</v>
      </c>
      <c r="C41" s="854"/>
      <c r="D41" s="917"/>
      <c r="E41" s="854"/>
      <c r="F41" s="917"/>
      <c r="G41" s="917"/>
      <c r="H41" s="854"/>
      <c r="I41" s="917"/>
    </row>
    <row r="42" spans="1:10">
      <c r="A42" s="886">
        <f>A41+1</f>
        <v>27</v>
      </c>
      <c r="B42" s="848" t="s">
        <v>521</v>
      </c>
      <c r="C42" s="146"/>
      <c r="D42" s="918"/>
      <c r="E42" s="146"/>
      <c r="F42" s="918"/>
      <c r="G42" s="918"/>
      <c r="H42" s="146"/>
      <c r="I42" s="918"/>
    </row>
    <row r="43" spans="1:10">
      <c r="A43" s="886">
        <f>A42+1</f>
        <v>28</v>
      </c>
      <c r="B43" s="848" t="str">
        <f>"Monetary Value (Ln "&amp;A41&amp;" * Ln "&amp;A42&amp;")"</f>
        <v>Monetary Value (Ln 26 * Ln 27)</v>
      </c>
      <c r="C43" s="487">
        <f t="shared" ref="C43:I43" si="8">C41*C42</f>
        <v>0</v>
      </c>
      <c r="D43" s="487"/>
      <c r="E43" s="487">
        <f t="shared" si="8"/>
        <v>0</v>
      </c>
      <c r="F43" s="487">
        <f t="shared" si="8"/>
        <v>0</v>
      </c>
      <c r="G43" s="487">
        <f t="shared" si="8"/>
        <v>0</v>
      </c>
      <c r="H43" s="487">
        <f t="shared" si="8"/>
        <v>0</v>
      </c>
      <c r="I43" s="487">
        <f t="shared" si="8"/>
        <v>0</v>
      </c>
      <c r="J43" s="893">
        <f>SUM(C43:I43)</f>
        <v>0</v>
      </c>
    </row>
    <row r="44" spans="1:10">
      <c r="A44" s="886">
        <f>A43+1</f>
        <v>29</v>
      </c>
      <c r="B44" s="848" t="str">
        <f>"Dividend Amount (Ln "&amp;A40&amp;" * Ln "&amp;A43&amp;")"</f>
        <v>Dividend Amount (Ln 25 * Ln 28)</v>
      </c>
      <c r="C44" s="487">
        <f t="shared" ref="C44:I44" si="9">C43*C40</f>
        <v>0</v>
      </c>
      <c r="D44" s="487"/>
      <c r="E44" s="487">
        <f t="shared" si="9"/>
        <v>0</v>
      </c>
      <c r="F44" s="487">
        <f t="shared" si="9"/>
        <v>0</v>
      </c>
      <c r="G44" s="487">
        <f t="shared" si="9"/>
        <v>0</v>
      </c>
      <c r="H44" s="487">
        <f t="shared" si="9"/>
        <v>0</v>
      </c>
      <c r="I44" s="487">
        <f t="shared" si="9"/>
        <v>0</v>
      </c>
      <c r="J44" s="893">
        <f>SUM(C44:I44)</f>
        <v>0</v>
      </c>
    </row>
    <row r="46" spans="1:10">
      <c r="A46" s="886">
        <f>A44+1</f>
        <v>30</v>
      </c>
      <c r="B46" s="848" t="s">
        <v>519</v>
      </c>
      <c r="C46" s="853"/>
      <c r="D46" s="915"/>
      <c r="E46" s="916"/>
      <c r="F46" s="915"/>
      <c r="G46" s="915"/>
      <c r="H46" s="853"/>
      <c r="I46" s="915"/>
    </row>
    <row r="47" spans="1:10">
      <c r="A47" s="886">
        <f>A46+1</f>
        <v>31</v>
      </c>
      <c r="B47" s="848" t="s">
        <v>520</v>
      </c>
      <c r="C47" s="854"/>
      <c r="D47" s="917"/>
      <c r="E47" s="854"/>
      <c r="F47" s="917"/>
      <c r="G47" s="917"/>
      <c r="H47" s="854"/>
      <c r="I47" s="917"/>
    </row>
    <row r="48" spans="1:10">
      <c r="A48" s="886">
        <f>A47+1</f>
        <v>32</v>
      </c>
      <c r="B48" s="848" t="s">
        <v>521</v>
      </c>
      <c r="C48" s="146"/>
      <c r="D48" s="918"/>
      <c r="E48" s="146"/>
      <c r="F48" s="918"/>
      <c r="G48" s="918"/>
      <c r="H48" s="146"/>
      <c r="I48" s="918"/>
    </row>
    <row r="49" spans="1:10">
      <c r="A49" s="886">
        <f>A48+1</f>
        <v>33</v>
      </c>
      <c r="B49" s="848" t="str">
        <f>"Monetary Value (Ln "&amp;A47&amp;" * Ln "&amp;A48&amp;")"</f>
        <v>Monetary Value (Ln 31 * Ln 32)</v>
      </c>
      <c r="C49" s="487">
        <f t="shared" ref="C49:I49" si="10">C47*C48</f>
        <v>0</v>
      </c>
      <c r="D49" s="487"/>
      <c r="E49" s="487">
        <f t="shared" si="10"/>
        <v>0</v>
      </c>
      <c r="F49" s="487">
        <f t="shared" si="10"/>
        <v>0</v>
      </c>
      <c r="G49" s="487">
        <f t="shared" si="10"/>
        <v>0</v>
      </c>
      <c r="H49" s="487">
        <f t="shared" si="10"/>
        <v>0</v>
      </c>
      <c r="I49" s="487">
        <f t="shared" si="10"/>
        <v>0</v>
      </c>
      <c r="J49" s="893">
        <f>SUM(C49:I49)</f>
        <v>0</v>
      </c>
    </row>
    <row r="50" spans="1:10">
      <c r="A50" s="886">
        <f>A49+1</f>
        <v>34</v>
      </c>
      <c r="B50" s="848" t="str">
        <f>"Dividend Amount (Ln "&amp;A46&amp;" * Ln "&amp;A49&amp;")"</f>
        <v>Dividend Amount (Ln 30 * Ln 33)</v>
      </c>
      <c r="C50" s="487">
        <f t="shared" ref="C50:I50" si="11">C49*C46</f>
        <v>0</v>
      </c>
      <c r="D50" s="487"/>
      <c r="E50" s="487">
        <f t="shared" si="11"/>
        <v>0</v>
      </c>
      <c r="F50" s="487">
        <f t="shared" si="11"/>
        <v>0</v>
      </c>
      <c r="G50" s="487">
        <f t="shared" si="11"/>
        <v>0</v>
      </c>
      <c r="H50" s="487">
        <f t="shared" si="11"/>
        <v>0</v>
      </c>
      <c r="I50" s="487">
        <f t="shared" si="11"/>
        <v>0</v>
      </c>
      <c r="J50" s="893">
        <f>SUM(C50:I50)</f>
        <v>0</v>
      </c>
    </row>
    <row r="51" spans="1:10">
      <c r="B51" s="848"/>
    </row>
    <row r="52" spans="1:10">
      <c r="A52" s="886">
        <f>A50+1</f>
        <v>35</v>
      </c>
      <c r="B52" s="846" t="str">
        <f>"Preferred Stock (Lns "&amp;A31&amp;", "&amp;A37&amp;", "&amp;A43&amp;","&amp;A49&amp;")"</f>
        <v>Preferred Stock (Lns 18, 23, 28,33)</v>
      </c>
      <c r="C52" s="893">
        <f t="shared" ref="C52:I53" si="12">C31+C37+C43+C49</f>
        <v>0</v>
      </c>
      <c r="D52" s="893"/>
      <c r="E52" s="893">
        <f t="shared" si="12"/>
        <v>0</v>
      </c>
      <c r="F52" s="893">
        <f t="shared" si="12"/>
        <v>0</v>
      </c>
      <c r="G52" s="893">
        <f t="shared" si="12"/>
        <v>0</v>
      </c>
      <c r="H52" s="893">
        <f t="shared" si="12"/>
        <v>0</v>
      </c>
      <c r="I52" s="893">
        <f t="shared" si="12"/>
        <v>0</v>
      </c>
      <c r="J52" s="893">
        <f>SUM(C52:I52)</f>
        <v>0</v>
      </c>
    </row>
    <row r="53" spans="1:10">
      <c r="A53" s="886">
        <f>A52+1</f>
        <v>36</v>
      </c>
      <c r="B53" s="846" t="str">
        <f>"Preferred Dividends (Lns "&amp;A32&amp;", "&amp;A38&amp;", "&amp;A44&amp;","&amp;A50&amp;")"</f>
        <v>Preferred Dividends (Lns 19, 24, 29,34)</v>
      </c>
      <c r="C53" s="893">
        <f t="shared" si="12"/>
        <v>0</v>
      </c>
      <c r="D53" s="893"/>
      <c r="E53" s="893">
        <f t="shared" si="12"/>
        <v>0</v>
      </c>
      <c r="F53" s="893">
        <f t="shared" si="12"/>
        <v>0</v>
      </c>
      <c r="G53" s="893">
        <f t="shared" si="12"/>
        <v>0</v>
      </c>
      <c r="H53" s="893">
        <f t="shared" si="12"/>
        <v>0</v>
      </c>
      <c r="I53" s="893">
        <f t="shared" si="12"/>
        <v>0</v>
      </c>
      <c r="J53" s="893">
        <f>SUM(C53:I53)</f>
        <v>0</v>
      </c>
    </row>
    <row r="54" spans="1:10">
      <c r="B54" s="897"/>
    </row>
    <row r="55" spans="1:10" ht="15">
      <c r="A55" s="845" t="s">
        <v>522</v>
      </c>
    </row>
    <row r="56" spans="1:10">
      <c r="A56" s="886">
        <f>A53+1</f>
        <v>37</v>
      </c>
      <c r="B56" s="664" t="s">
        <v>523</v>
      </c>
      <c r="C56" s="146"/>
      <c r="D56" s="146"/>
      <c r="E56" s="146"/>
      <c r="F56" s="146"/>
      <c r="G56" s="146"/>
      <c r="H56" s="146"/>
      <c r="I56" s="146"/>
      <c r="J56" s="893">
        <f>SUM(C56:I56)</f>
        <v>0</v>
      </c>
    </row>
    <row r="57" spans="1:10">
      <c r="A57" s="886">
        <f>A56+1</f>
        <v>38</v>
      </c>
      <c r="B57" s="664" t="str">
        <f>"Less: Preferred Stock (Ln "&amp;A52&amp;" Above)"</f>
        <v>Less: Preferred Stock (Ln 35 Above)</v>
      </c>
      <c r="C57" s="488">
        <f t="shared" ref="C57:I57" si="13">C52</f>
        <v>0</v>
      </c>
      <c r="D57" s="488"/>
      <c r="E57" s="488">
        <f t="shared" si="13"/>
        <v>0</v>
      </c>
      <c r="F57" s="488">
        <f t="shared" si="13"/>
        <v>0</v>
      </c>
      <c r="G57" s="488">
        <f t="shared" si="13"/>
        <v>0</v>
      </c>
      <c r="H57" s="488">
        <f t="shared" si="13"/>
        <v>0</v>
      </c>
      <c r="I57" s="488">
        <f t="shared" si="13"/>
        <v>0</v>
      </c>
      <c r="J57" s="893">
        <f>SUM(C57:I57)</f>
        <v>0</v>
      </c>
    </row>
    <row r="58" spans="1:10">
      <c r="A58" s="886">
        <f>A57+1</f>
        <v>39</v>
      </c>
      <c r="B58" s="664" t="s">
        <v>524</v>
      </c>
      <c r="C58" s="852"/>
      <c r="D58" s="852"/>
      <c r="E58" s="852"/>
      <c r="F58" s="852"/>
      <c r="G58" s="852"/>
      <c r="H58" s="852"/>
      <c r="I58" s="852"/>
      <c r="J58" s="893">
        <f>SUM(C58:I58)</f>
        <v>0</v>
      </c>
    </row>
    <row r="59" spans="1:10">
      <c r="A59" s="886">
        <f>A58+1</f>
        <v>40</v>
      </c>
      <c r="B59" s="664" t="s">
        <v>525</v>
      </c>
      <c r="C59" s="147"/>
      <c r="D59" s="147"/>
      <c r="E59" s="147"/>
      <c r="F59" s="147"/>
      <c r="G59" s="147"/>
      <c r="H59" s="147"/>
      <c r="I59" s="147"/>
      <c r="J59" s="898">
        <f>SUM(C59:I59)</f>
        <v>0</v>
      </c>
    </row>
    <row r="60" spans="1:10">
      <c r="A60" s="886">
        <f>A59+1</f>
        <v>41</v>
      </c>
      <c r="B60" s="847" t="s">
        <v>526</v>
      </c>
      <c r="C60" s="832">
        <f t="shared" ref="C60:J60" si="14">C56-C57-C58-C59</f>
        <v>0</v>
      </c>
      <c r="D60" s="832"/>
      <c r="E60" s="832">
        <f t="shared" si="14"/>
        <v>0</v>
      </c>
      <c r="F60" s="832">
        <f t="shared" si="14"/>
        <v>0</v>
      </c>
      <c r="G60" s="832">
        <f t="shared" si="14"/>
        <v>0</v>
      </c>
      <c r="H60" s="832">
        <f t="shared" si="14"/>
        <v>0</v>
      </c>
      <c r="I60" s="832">
        <f t="shared" si="14"/>
        <v>0</v>
      </c>
      <c r="J60" s="832">
        <f t="shared" si="14"/>
        <v>0</v>
      </c>
    </row>
    <row r="62" spans="1:10" ht="15">
      <c r="A62" s="845" t="s">
        <v>527</v>
      </c>
    </row>
    <row r="63" spans="1:10">
      <c r="A63" s="886">
        <f>A60+1</f>
        <v>42</v>
      </c>
      <c r="B63" s="467" t="str">
        <f>"Long Term Debt (Ln "&amp;A14&amp;" Above)"</f>
        <v>Long Term Debt (Ln 6 Above)</v>
      </c>
      <c r="C63" s="893">
        <f t="shared" ref="C63:J63" si="15">C14</f>
        <v>0</v>
      </c>
      <c r="D63" s="893"/>
      <c r="E63" s="893">
        <f t="shared" si="15"/>
        <v>0</v>
      </c>
      <c r="F63" s="893">
        <f t="shared" si="15"/>
        <v>0</v>
      </c>
      <c r="G63" s="893">
        <f t="shared" si="15"/>
        <v>0</v>
      </c>
      <c r="H63" s="893">
        <f t="shared" si="15"/>
        <v>0</v>
      </c>
      <c r="I63" s="893">
        <f t="shared" si="15"/>
        <v>0</v>
      </c>
      <c r="J63" s="893">
        <f t="shared" si="15"/>
        <v>0</v>
      </c>
    </row>
    <row r="64" spans="1:10">
      <c r="A64" s="886">
        <f>A63+1</f>
        <v>43</v>
      </c>
      <c r="B64" s="467" t="str">
        <f>"Preferred Stock (Ln "&amp;A52&amp;" Above)"</f>
        <v>Preferred Stock (Ln 35 Above)</v>
      </c>
      <c r="C64" s="893">
        <f t="shared" ref="C64:J64" si="16">C52</f>
        <v>0</v>
      </c>
      <c r="D64" s="893"/>
      <c r="E64" s="893">
        <f t="shared" si="16"/>
        <v>0</v>
      </c>
      <c r="F64" s="893">
        <f t="shared" si="16"/>
        <v>0</v>
      </c>
      <c r="G64" s="893">
        <f t="shared" si="16"/>
        <v>0</v>
      </c>
      <c r="H64" s="893">
        <f t="shared" si="16"/>
        <v>0</v>
      </c>
      <c r="I64" s="893">
        <f t="shared" si="16"/>
        <v>0</v>
      </c>
      <c r="J64" s="893">
        <f t="shared" si="16"/>
        <v>0</v>
      </c>
    </row>
    <row r="65" spans="1:10">
      <c r="A65" s="886">
        <f>A64+1</f>
        <v>44</v>
      </c>
      <c r="B65" s="467" t="str">
        <f>"Common Equity (Ln "&amp;A60&amp;" Above)"</f>
        <v>Common Equity (Ln 41 Above)</v>
      </c>
      <c r="C65" s="898">
        <f t="shared" ref="C65:J65" si="17">C60</f>
        <v>0</v>
      </c>
      <c r="D65" s="898"/>
      <c r="E65" s="898">
        <f t="shared" si="17"/>
        <v>0</v>
      </c>
      <c r="F65" s="898">
        <f t="shared" si="17"/>
        <v>0</v>
      </c>
      <c r="G65" s="898">
        <f t="shared" si="17"/>
        <v>0</v>
      </c>
      <c r="H65" s="898">
        <f t="shared" si="17"/>
        <v>0</v>
      </c>
      <c r="I65" s="898">
        <f t="shared" si="17"/>
        <v>0</v>
      </c>
      <c r="J65" s="898">
        <f t="shared" si="17"/>
        <v>0</v>
      </c>
    </row>
    <row r="66" spans="1:10">
      <c r="A66" s="886">
        <f>A65+1</f>
        <v>45</v>
      </c>
      <c r="B66" s="886" t="s">
        <v>528</v>
      </c>
      <c r="C66" s="893">
        <f t="shared" ref="C66:J66" si="18">SUM(C63:C65)</f>
        <v>0</v>
      </c>
      <c r="D66" s="893"/>
      <c r="E66" s="893">
        <f t="shared" si="18"/>
        <v>0</v>
      </c>
      <c r="F66" s="893">
        <f t="shared" si="18"/>
        <v>0</v>
      </c>
      <c r="G66" s="893">
        <f t="shared" si="18"/>
        <v>0</v>
      </c>
      <c r="H66" s="893">
        <f t="shared" si="18"/>
        <v>0</v>
      </c>
      <c r="I66" s="893">
        <f t="shared" si="18"/>
        <v>0</v>
      </c>
      <c r="J66" s="893">
        <f t="shared" si="18"/>
        <v>0</v>
      </c>
    </row>
    <row r="68" spans="1:10">
      <c r="A68" s="886">
        <f>A66+1</f>
        <v>46</v>
      </c>
      <c r="B68" s="467" t="str">
        <f>"LTD Capital Shares (Ln "&amp;A63&amp;" / Ln "&amp;A66&amp;")"</f>
        <v>LTD Capital Shares (Ln 42 / Ln 45)</v>
      </c>
      <c r="C68" s="899" t="e">
        <f t="shared" ref="C68:J68" si="19">C63/C66</f>
        <v>#DIV/0!</v>
      </c>
      <c r="D68" s="899"/>
      <c r="E68" s="899" t="e">
        <f t="shared" si="19"/>
        <v>#DIV/0!</v>
      </c>
      <c r="F68" s="899" t="e">
        <f t="shared" si="19"/>
        <v>#DIV/0!</v>
      </c>
      <c r="G68" s="899" t="e">
        <f t="shared" si="19"/>
        <v>#DIV/0!</v>
      </c>
      <c r="H68" s="899" t="e">
        <f t="shared" si="19"/>
        <v>#DIV/0!</v>
      </c>
      <c r="I68" s="899" t="e">
        <f t="shared" si="19"/>
        <v>#DIV/0!</v>
      </c>
      <c r="J68" s="899" t="e">
        <f t="shared" si="19"/>
        <v>#DIV/0!</v>
      </c>
    </row>
    <row r="69" spans="1:10">
      <c r="A69" s="886">
        <f>A68+1</f>
        <v>47</v>
      </c>
      <c r="B69" s="467" t="str">
        <f>"Preferred Stock Capital Shares (Ln "&amp;A64&amp;" / Ln "&amp;A66&amp;")"</f>
        <v>Preferred Stock Capital Shares (Ln 43 / Ln 45)</v>
      </c>
      <c r="C69" s="899" t="e">
        <f t="shared" ref="C69:J69" si="20">C64/C66</f>
        <v>#DIV/0!</v>
      </c>
      <c r="D69" s="899"/>
      <c r="E69" s="899" t="e">
        <f t="shared" si="20"/>
        <v>#DIV/0!</v>
      </c>
      <c r="F69" s="899" t="e">
        <f t="shared" si="20"/>
        <v>#DIV/0!</v>
      </c>
      <c r="G69" s="899" t="e">
        <f t="shared" si="20"/>
        <v>#DIV/0!</v>
      </c>
      <c r="H69" s="899" t="e">
        <f t="shared" si="20"/>
        <v>#DIV/0!</v>
      </c>
      <c r="I69" s="899" t="e">
        <f t="shared" si="20"/>
        <v>#DIV/0!</v>
      </c>
      <c r="J69" s="899" t="e">
        <f t="shared" si="20"/>
        <v>#DIV/0!</v>
      </c>
    </row>
    <row r="70" spans="1:10">
      <c r="A70" s="900">
        <f>A69+1</f>
        <v>48</v>
      </c>
      <c r="B70" s="467" t="str">
        <f>"Common Equity Capital Shares (Ln "&amp;A65&amp;" / Ln "&amp;A66&amp;")"</f>
        <v>Common Equity Capital Shares (Ln 44 / Ln 45)</v>
      </c>
      <c r="C70" s="901" t="e">
        <f t="shared" ref="C70:J70" si="21">C65/C66</f>
        <v>#DIV/0!</v>
      </c>
      <c r="D70" s="901"/>
      <c r="E70" s="901" t="e">
        <f t="shared" si="21"/>
        <v>#DIV/0!</v>
      </c>
      <c r="F70" s="901" t="e">
        <f t="shared" si="21"/>
        <v>#DIV/0!</v>
      </c>
      <c r="G70" s="901" t="e">
        <f t="shared" si="21"/>
        <v>#DIV/0!</v>
      </c>
      <c r="H70" s="901" t="e">
        <f t="shared" si="21"/>
        <v>#DIV/0!</v>
      </c>
      <c r="I70" s="901" t="e">
        <f t="shared" si="21"/>
        <v>#DIV/0!</v>
      </c>
      <c r="J70" s="901" t="e">
        <f t="shared" si="21"/>
        <v>#DIV/0!</v>
      </c>
    </row>
    <row r="71" spans="1:10">
      <c r="A71" s="900"/>
      <c r="B71" s="467"/>
      <c r="C71" s="901"/>
      <c r="D71" s="901"/>
      <c r="E71" s="901"/>
      <c r="F71" s="901"/>
      <c r="G71" s="901"/>
      <c r="H71" s="901"/>
      <c r="I71" s="901"/>
      <c r="J71" s="901"/>
    </row>
    <row r="72" spans="1:10">
      <c r="A72" s="900">
        <f>A70+1</f>
        <v>49</v>
      </c>
      <c r="B72" s="846" t="s">
        <v>558</v>
      </c>
      <c r="C72" s="902"/>
      <c r="D72" s="902"/>
      <c r="E72" s="902"/>
      <c r="F72" s="902"/>
      <c r="G72" s="902"/>
      <c r="H72" s="902"/>
      <c r="I72" s="902"/>
      <c r="J72" s="902"/>
    </row>
    <row r="73" spans="1:10">
      <c r="A73" s="900"/>
      <c r="B73" s="467"/>
      <c r="C73" s="901"/>
      <c r="D73" s="901"/>
      <c r="E73" s="901"/>
      <c r="F73" s="901"/>
      <c r="G73" s="901"/>
      <c r="H73" s="901"/>
      <c r="I73" s="901"/>
      <c r="J73" s="901"/>
    </row>
    <row r="74" spans="1:10">
      <c r="A74" s="900">
        <f>A72+1</f>
        <v>50</v>
      </c>
      <c r="B74" s="846" t="s">
        <v>558</v>
      </c>
      <c r="C74" s="901"/>
      <c r="D74" s="901"/>
      <c r="E74" s="901"/>
      <c r="F74" s="901"/>
      <c r="G74" s="901"/>
      <c r="H74" s="901"/>
      <c r="I74" s="901"/>
      <c r="J74" s="901"/>
    </row>
    <row r="75" spans="1:10">
      <c r="A75" s="900">
        <f>A74+1</f>
        <v>51</v>
      </c>
      <c r="B75" s="846" t="s">
        <v>558</v>
      </c>
      <c r="C75" s="901"/>
      <c r="D75" s="901"/>
      <c r="E75" s="901"/>
      <c r="F75" s="901"/>
      <c r="G75" s="901"/>
      <c r="H75" s="901"/>
      <c r="I75" s="901"/>
      <c r="J75" s="901"/>
    </row>
    <row r="76" spans="1:10">
      <c r="A76" s="900">
        <f>A75+1</f>
        <v>52</v>
      </c>
      <c r="B76" s="846" t="s">
        <v>558</v>
      </c>
      <c r="C76" s="901"/>
      <c r="D76" s="901"/>
      <c r="E76" s="901"/>
      <c r="F76" s="901"/>
      <c r="G76" s="901"/>
      <c r="H76" s="901"/>
      <c r="I76" s="901"/>
      <c r="J76" s="901"/>
    </row>
    <row r="77" spans="1:10">
      <c r="B77" s="467"/>
      <c r="C77" s="899"/>
      <c r="D77" s="899"/>
      <c r="E77" s="899"/>
      <c r="F77" s="899"/>
      <c r="G77" s="899"/>
      <c r="H77" s="899"/>
      <c r="I77" s="899"/>
      <c r="J77" s="899"/>
    </row>
    <row r="78" spans="1:10" ht="15">
      <c r="A78" s="845" t="s">
        <v>529</v>
      </c>
    </row>
    <row r="79" spans="1:10">
      <c r="A79" s="886">
        <f>A76+1</f>
        <v>53</v>
      </c>
      <c r="B79" s="467" t="str">
        <f>"LTD Capital Cost Rate (Ln "&amp;A25&amp;" / Ln "&amp;A14&amp;")"</f>
        <v>LTD Capital Cost Rate (Ln 14 / Ln 6)</v>
      </c>
      <c r="C79" s="899" t="e">
        <f t="shared" ref="C79:J79" si="22">C25/C14</f>
        <v>#DIV/0!</v>
      </c>
      <c r="D79" s="899"/>
      <c r="E79" s="899" t="e">
        <f t="shared" si="22"/>
        <v>#DIV/0!</v>
      </c>
      <c r="F79" s="899" t="e">
        <f t="shared" si="22"/>
        <v>#DIV/0!</v>
      </c>
      <c r="G79" s="899" t="e">
        <f t="shared" si="22"/>
        <v>#DIV/0!</v>
      </c>
      <c r="H79" s="899" t="e">
        <f t="shared" si="22"/>
        <v>#DIV/0!</v>
      </c>
      <c r="I79" s="899" t="e">
        <f t="shared" si="22"/>
        <v>#DIV/0!</v>
      </c>
      <c r="J79" s="899" t="e">
        <f t="shared" si="22"/>
        <v>#DIV/0!</v>
      </c>
    </row>
    <row r="80" spans="1:10">
      <c r="A80" s="886">
        <f>A79+1</f>
        <v>54</v>
      </c>
      <c r="B80" s="467" t="str">
        <f>"Preferred Stock Capital Cost Rate (Ln "&amp;A53&amp;" / Ln "&amp;A52&amp;")"</f>
        <v>Preferred Stock Capital Cost Rate (Ln 36 / Ln 35)</v>
      </c>
      <c r="C80" s="899">
        <f t="shared" ref="C80:J80" si="23">IF(C52=0,0,C53/C52)</f>
        <v>0</v>
      </c>
      <c r="D80" s="899"/>
      <c r="E80" s="899">
        <f t="shared" si="23"/>
        <v>0</v>
      </c>
      <c r="F80" s="899">
        <f t="shared" si="23"/>
        <v>0</v>
      </c>
      <c r="G80" s="899">
        <f t="shared" si="23"/>
        <v>0</v>
      </c>
      <c r="H80" s="899">
        <f t="shared" si="23"/>
        <v>0</v>
      </c>
      <c r="I80" s="899">
        <f t="shared" si="23"/>
        <v>0</v>
      </c>
      <c r="J80" s="899">
        <f t="shared" si="23"/>
        <v>0</v>
      </c>
    </row>
    <row r="81" spans="1:10">
      <c r="A81" s="886">
        <f>A80+1</f>
        <v>55</v>
      </c>
      <c r="B81" s="467" t="s">
        <v>530</v>
      </c>
      <c r="C81" s="899">
        <v>0.1149</v>
      </c>
      <c r="D81" s="899"/>
      <c r="E81" s="899">
        <v>0.1149</v>
      </c>
      <c r="F81" s="899">
        <v>0.1149</v>
      </c>
      <c r="G81" s="899">
        <v>0.1149</v>
      </c>
      <c r="H81" s="899">
        <v>0.1149</v>
      </c>
      <c r="I81" s="899">
        <v>0.1149</v>
      </c>
      <c r="J81" s="899">
        <v>0.1149</v>
      </c>
    </row>
    <row r="83" spans="1:10" ht="15">
      <c r="A83" s="845" t="s">
        <v>531</v>
      </c>
    </row>
    <row r="84" spans="1:10">
      <c r="A84" s="886">
        <f>A81+1</f>
        <v>56</v>
      </c>
      <c r="B84" s="467" t="str">
        <f>"LTD Weighted Capital Cost Rate (Ln "&amp;A68&amp;" * Ln "&amp;A79&amp;")"</f>
        <v>LTD Weighted Capital Cost Rate (Ln 46 * Ln 53)</v>
      </c>
      <c r="C84" s="899" t="e">
        <f>C68*C79</f>
        <v>#DIV/0!</v>
      </c>
      <c r="D84" s="899"/>
      <c r="E84" s="899" t="e">
        <f t="shared" ref="E84:J84" si="24">E68*E79</f>
        <v>#DIV/0!</v>
      </c>
      <c r="F84" s="899" t="e">
        <f t="shared" si="24"/>
        <v>#DIV/0!</v>
      </c>
      <c r="G84" s="899" t="e">
        <f t="shared" si="24"/>
        <v>#DIV/0!</v>
      </c>
      <c r="H84" s="899" t="e">
        <f t="shared" si="24"/>
        <v>#DIV/0!</v>
      </c>
      <c r="I84" s="899" t="e">
        <f t="shared" si="24"/>
        <v>#DIV/0!</v>
      </c>
      <c r="J84" s="899" t="e">
        <f t="shared" si="24"/>
        <v>#DIV/0!</v>
      </c>
    </row>
    <row r="85" spans="1:10">
      <c r="A85" s="886">
        <f>A84+1</f>
        <v>57</v>
      </c>
      <c r="B85" s="467" t="str">
        <f>"Preferred Stock Capital Cost Rate (Ln "&amp;A69&amp;" * Ln "&amp;A80&amp;")"</f>
        <v>Preferred Stock Capital Cost Rate (Ln 47 * Ln 54)</v>
      </c>
      <c r="C85" s="899" t="e">
        <f>C69*C80</f>
        <v>#DIV/0!</v>
      </c>
      <c r="D85" s="899"/>
      <c r="E85" s="899" t="e">
        <f t="shared" ref="E85:J85" si="25">E69*E80</f>
        <v>#DIV/0!</v>
      </c>
      <c r="F85" s="899" t="e">
        <f t="shared" si="25"/>
        <v>#DIV/0!</v>
      </c>
      <c r="G85" s="899" t="e">
        <f t="shared" si="25"/>
        <v>#DIV/0!</v>
      </c>
      <c r="H85" s="899" t="e">
        <f t="shared" si="25"/>
        <v>#DIV/0!</v>
      </c>
      <c r="I85" s="899" t="e">
        <f t="shared" si="25"/>
        <v>#DIV/0!</v>
      </c>
      <c r="J85" s="899" t="e">
        <f t="shared" si="25"/>
        <v>#DIV/0!</v>
      </c>
    </row>
    <row r="86" spans="1:10">
      <c r="A86" s="886">
        <f>A85+1</f>
        <v>58</v>
      </c>
      <c r="B86" s="467" t="str">
        <f>"Common Equity Capital Cost Rate (Ln "&amp;A70&amp;" * Ln "&amp;A81&amp;")"</f>
        <v>Common Equity Capital Cost Rate (Ln 48 * Ln 55)</v>
      </c>
      <c r="C86" s="903" t="e">
        <f>C70*C81</f>
        <v>#DIV/0!</v>
      </c>
      <c r="D86" s="903"/>
      <c r="E86" s="903" t="e">
        <f t="shared" ref="E86:J86" si="26">E70*E81</f>
        <v>#DIV/0!</v>
      </c>
      <c r="F86" s="903" t="e">
        <f t="shared" si="26"/>
        <v>#DIV/0!</v>
      </c>
      <c r="G86" s="903" t="e">
        <f t="shared" si="26"/>
        <v>#DIV/0!</v>
      </c>
      <c r="H86" s="903" t="e">
        <f t="shared" si="26"/>
        <v>#DIV/0!</v>
      </c>
      <c r="I86" s="903" t="e">
        <f t="shared" si="26"/>
        <v>#DIV/0!</v>
      </c>
      <c r="J86" s="903" t="e">
        <f t="shared" si="26"/>
        <v>#DIV/0!</v>
      </c>
    </row>
    <row r="87" spans="1:10">
      <c r="A87" s="886">
        <f>A86+1</f>
        <v>59</v>
      </c>
      <c r="B87" s="904" t="s">
        <v>528</v>
      </c>
      <c r="C87" s="905" t="e">
        <f t="shared" ref="C87:J87" si="27">SUM(C84:C86)</f>
        <v>#DIV/0!</v>
      </c>
      <c r="D87" s="905"/>
      <c r="E87" s="905" t="e">
        <f t="shared" si="27"/>
        <v>#DIV/0!</v>
      </c>
      <c r="F87" s="905" t="e">
        <f t="shared" si="27"/>
        <v>#DIV/0!</v>
      </c>
      <c r="G87" s="905" t="e">
        <f t="shared" si="27"/>
        <v>#DIV/0!</v>
      </c>
      <c r="H87" s="905" t="e">
        <f t="shared" si="27"/>
        <v>#DIV/0!</v>
      </c>
      <c r="I87" s="905" t="e">
        <f t="shared" si="27"/>
        <v>#DIV/0!</v>
      </c>
      <c r="J87" s="905" t="e">
        <f t="shared" si="27"/>
        <v>#DIV/0!</v>
      </c>
    </row>
    <row r="90" spans="1:10">
      <c r="A90" s="1556" t="s">
        <v>507</v>
      </c>
      <c r="B90" s="1556"/>
      <c r="C90" s="1556"/>
      <c r="D90" s="1556"/>
      <c r="E90" s="1556"/>
      <c r="F90" s="1556"/>
      <c r="G90" s="1556"/>
      <c r="H90" s="1556"/>
      <c r="I90" s="1556"/>
      <c r="J90" s="1556"/>
    </row>
    <row r="91" spans="1:10">
      <c r="A91" s="1556" t="str">
        <f>"Consolidation of Operating Companies' Capital Structure @ December 31, "&amp;TCOS!L4-1&amp;""</f>
        <v>Consolidation of Operating Companies' Capital Structure @ December 31, 2023</v>
      </c>
      <c r="B91" s="1556"/>
      <c r="C91" s="1556"/>
      <c r="D91" s="1556"/>
      <c r="E91" s="1556"/>
      <c r="F91" s="1556"/>
      <c r="G91" s="1556"/>
      <c r="H91" s="1556"/>
      <c r="I91" s="1556"/>
      <c r="J91" s="1556"/>
    </row>
    <row r="92" spans="1:10">
      <c r="A92" s="1556" t="s">
        <v>249</v>
      </c>
      <c r="B92" s="1556"/>
      <c r="C92" s="1556"/>
      <c r="D92" s="1556"/>
      <c r="E92" s="1556"/>
      <c r="F92" s="1556"/>
      <c r="G92" s="1556"/>
      <c r="H92" s="1556"/>
      <c r="I92" s="1556"/>
      <c r="J92" s="1556"/>
    </row>
    <row r="93" spans="1:10">
      <c r="B93" s="897"/>
      <c r="C93" s="900"/>
      <c r="D93" s="900"/>
      <c r="E93" s="900"/>
      <c r="F93" s="900"/>
      <c r="G93" s="900"/>
      <c r="H93" s="900"/>
      <c r="I93" s="900"/>
      <c r="J93" s="900"/>
    </row>
    <row r="94" spans="1:10" ht="76.5">
      <c r="A94" s="886" t="s">
        <v>461</v>
      </c>
      <c r="C94" s="887" t="s">
        <v>508</v>
      </c>
      <c r="D94" s="887"/>
      <c r="E94" s="887" t="s">
        <v>509</v>
      </c>
      <c r="F94" s="887" t="s">
        <v>510</v>
      </c>
      <c r="G94" s="887" t="s">
        <v>511</v>
      </c>
      <c r="H94" s="887" t="s">
        <v>512</v>
      </c>
      <c r="I94" s="887" t="s">
        <v>513</v>
      </c>
      <c r="J94" s="887" t="s">
        <v>514</v>
      </c>
    </row>
    <row r="95" spans="1:10" ht="15">
      <c r="A95" s="845" t="s">
        <v>515</v>
      </c>
    </row>
    <row r="96" spans="1:10">
      <c r="A96" s="886">
        <f>A87+1</f>
        <v>60</v>
      </c>
      <c r="B96" s="849" t="s">
        <v>338</v>
      </c>
      <c r="C96" s="852"/>
      <c r="D96" s="852"/>
      <c r="E96" s="852"/>
      <c r="F96" s="852"/>
      <c r="G96" s="852"/>
      <c r="H96" s="852"/>
      <c r="I96" s="852"/>
      <c r="J96" s="832">
        <f>SUM(C96:I96)</f>
        <v>0</v>
      </c>
    </row>
    <row r="97" spans="1:10">
      <c r="A97" s="886">
        <f>A96+1</f>
        <v>61</v>
      </c>
      <c r="B97" s="849" t="s">
        <v>339</v>
      </c>
      <c r="C97" s="852"/>
      <c r="D97" s="852"/>
      <c r="E97" s="852"/>
      <c r="F97" s="852"/>
      <c r="G97" s="852"/>
      <c r="H97" s="852"/>
      <c r="I97" s="852"/>
      <c r="J97" s="832">
        <f>SUM(C97:I97)</f>
        <v>0</v>
      </c>
    </row>
    <row r="98" spans="1:10">
      <c r="A98" s="886">
        <f>A97+1</f>
        <v>62</v>
      </c>
      <c r="B98" s="850" t="s">
        <v>23</v>
      </c>
      <c r="C98" s="852"/>
      <c r="D98" s="852"/>
      <c r="E98" s="852"/>
      <c r="F98" s="852"/>
      <c r="G98" s="852"/>
      <c r="H98" s="852"/>
      <c r="I98" s="852"/>
      <c r="J98" s="832">
        <f>SUM(C98:I98)</f>
        <v>0</v>
      </c>
    </row>
    <row r="99" spans="1:10">
      <c r="A99" s="886">
        <f>A98+1</f>
        <v>63</v>
      </c>
      <c r="B99" s="850" t="s">
        <v>17</v>
      </c>
      <c r="C99" s="852"/>
      <c r="D99" s="852"/>
      <c r="E99" s="852"/>
      <c r="F99" s="852"/>
      <c r="G99" s="852"/>
      <c r="H99" s="852"/>
      <c r="I99" s="852"/>
      <c r="J99" s="832">
        <f>SUM(C99:I99)</f>
        <v>0</v>
      </c>
    </row>
    <row r="100" spans="1:10">
      <c r="A100" s="886">
        <f>A99+1</f>
        <v>64</v>
      </c>
      <c r="B100" s="850" t="str">
        <f>"Less: Fair Value Hedges (See Note on Ln "&amp;A103&amp;" below)"</f>
        <v>Less: Fair Value Hedges (See Note on Ln 66 below)</v>
      </c>
      <c r="C100" s="147"/>
      <c r="D100" s="147"/>
      <c r="E100" s="147"/>
      <c r="F100" s="147"/>
      <c r="G100" s="147"/>
      <c r="H100" s="147"/>
      <c r="I100" s="147"/>
      <c r="J100" s="888">
        <f>SUM(C100:I100)</f>
        <v>0</v>
      </c>
    </row>
    <row r="101" spans="1:10">
      <c r="A101" s="886">
        <f>A100+1</f>
        <v>65</v>
      </c>
      <c r="B101" s="851" t="s">
        <v>59</v>
      </c>
      <c r="C101" s="889">
        <f t="shared" ref="C101:J101" si="28">C96-C97+C98+C99-C100</f>
        <v>0</v>
      </c>
      <c r="D101" s="889"/>
      <c r="E101" s="889">
        <f t="shared" si="28"/>
        <v>0</v>
      </c>
      <c r="F101" s="889">
        <f t="shared" si="28"/>
        <v>0</v>
      </c>
      <c r="G101" s="889">
        <f t="shared" si="28"/>
        <v>0</v>
      </c>
      <c r="H101" s="889">
        <f t="shared" si="28"/>
        <v>0</v>
      </c>
      <c r="I101" s="889">
        <f t="shared" si="28"/>
        <v>0</v>
      </c>
      <c r="J101" s="889">
        <f t="shared" si="28"/>
        <v>0</v>
      </c>
    </row>
    <row r="103" spans="1:10">
      <c r="A103" s="886">
        <f>A101+1</f>
        <v>66</v>
      </c>
      <c r="B103" s="1555" t="s">
        <v>58</v>
      </c>
      <c r="C103" s="1555"/>
      <c r="D103" s="1555"/>
      <c r="E103" s="1555"/>
      <c r="F103" s="1555"/>
      <c r="G103" s="1555"/>
      <c r="H103" s="1555"/>
      <c r="I103" s="1555"/>
      <c r="J103" s="1555"/>
    </row>
    <row r="104" spans="1:10">
      <c r="B104" s="890"/>
      <c r="C104" s="890"/>
      <c r="D104" s="890"/>
      <c r="E104" s="890"/>
      <c r="F104" s="890"/>
      <c r="G104" s="890"/>
      <c r="H104" s="890"/>
      <c r="I104" s="890"/>
      <c r="J104" s="890"/>
    </row>
    <row r="105" spans="1:10" ht="15">
      <c r="A105" s="845" t="s">
        <v>516</v>
      </c>
    </row>
    <row r="106" spans="1:10">
      <c r="A106" s="886">
        <f>A103+1</f>
        <v>67</v>
      </c>
      <c r="B106" s="849" t="s">
        <v>340</v>
      </c>
      <c r="C106" s="146"/>
      <c r="D106" s="146"/>
      <c r="E106" s="146"/>
      <c r="F106" s="146"/>
      <c r="G106" s="146"/>
      <c r="H106" s="146"/>
      <c r="I106" s="146"/>
      <c r="J106" s="488">
        <f t="shared" ref="J106:J111" si="29">SUM(C106:I106)</f>
        <v>0</v>
      </c>
    </row>
    <row r="107" spans="1:10">
      <c r="A107" s="886">
        <f t="shared" ref="A107:A112" si="30">A106+1</f>
        <v>68</v>
      </c>
      <c r="B107" s="849" t="s">
        <v>333</v>
      </c>
      <c r="C107" s="146"/>
      <c r="D107" s="146"/>
      <c r="E107" s="146"/>
      <c r="F107" s="146"/>
      <c r="G107" s="146"/>
      <c r="H107" s="146"/>
      <c r="I107" s="146"/>
      <c r="J107" s="488">
        <f t="shared" si="29"/>
        <v>0</v>
      </c>
    </row>
    <row r="108" spans="1:10">
      <c r="A108" s="886">
        <f t="shared" si="30"/>
        <v>69</v>
      </c>
      <c r="B108" s="849" t="s">
        <v>334</v>
      </c>
      <c r="C108" s="146"/>
      <c r="D108" s="146"/>
      <c r="E108" s="146"/>
      <c r="F108" s="146"/>
      <c r="G108" s="146"/>
      <c r="H108" s="146"/>
      <c r="I108" s="146"/>
      <c r="J108" s="488">
        <f t="shared" si="29"/>
        <v>0</v>
      </c>
    </row>
    <row r="109" spans="1:10">
      <c r="A109" s="886">
        <f t="shared" si="30"/>
        <v>70</v>
      </c>
      <c r="B109" s="849" t="s">
        <v>335</v>
      </c>
      <c r="C109" s="852"/>
      <c r="D109" s="852"/>
      <c r="E109" s="852"/>
      <c r="F109" s="852"/>
      <c r="G109" s="852"/>
      <c r="H109" s="852"/>
      <c r="I109" s="852"/>
      <c r="J109" s="832">
        <f t="shared" si="29"/>
        <v>0</v>
      </c>
    </row>
    <row r="110" spans="1:10">
      <c r="A110" s="886">
        <f t="shared" si="30"/>
        <v>71</v>
      </c>
      <c r="B110" s="849" t="s">
        <v>336</v>
      </c>
      <c r="C110" s="852"/>
      <c r="D110" s="852"/>
      <c r="E110" s="852"/>
      <c r="F110" s="852"/>
      <c r="G110" s="852"/>
      <c r="H110" s="852"/>
      <c r="I110" s="852"/>
      <c r="J110" s="832">
        <f t="shared" si="29"/>
        <v>0</v>
      </c>
    </row>
    <row r="111" spans="1:10">
      <c r="A111" s="886">
        <f t="shared" si="30"/>
        <v>72</v>
      </c>
      <c r="B111" s="891" t="s">
        <v>517</v>
      </c>
      <c r="C111" s="147"/>
      <c r="D111" s="147"/>
      <c r="E111" s="147"/>
      <c r="F111" s="147"/>
      <c r="G111" s="147"/>
      <c r="H111" s="147"/>
      <c r="I111" s="147"/>
      <c r="J111" s="888">
        <f t="shared" si="29"/>
        <v>0</v>
      </c>
    </row>
    <row r="112" spans="1:10">
      <c r="A112" s="886">
        <f t="shared" si="30"/>
        <v>73</v>
      </c>
      <c r="B112" s="892" t="s">
        <v>60</v>
      </c>
      <c r="C112" s="893">
        <f t="shared" ref="C112:J112" si="31">C106+C107+C108-C109-C110-C111</f>
        <v>0</v>
      </c>
      <c r="D112" s="893"/>
      <c r="E112" s="893">
        <f t="shared" si="31"/>
        <v>0</v>
      </c>
      <c r="F112" s="893">
        <f t="shared" si="31"/>
        <v>0</v>
      </c>
      <c r="G112" s="893">
        <f t="shared" si="31"/>
        <v>0</v>
      </c>
      <c r="H112" s="893">
        <f t="shared" si="31"/>
        <v>0</v>
      </c>
      <c r="I112" s="893">
        <f t="shared" si="31"/>
        <v>0</v>
      </c>
      <c r="J112" s="893">
        <f t="shared" si="31"/>
        <v>0</v>
      </c>
    </row>
    <row r="114" spans="1:10" ht="15">
      <c r="A114" s="845" t="s">
        <v>518</v>
      </c>
      <c r="B114" s="894"/>
      <c r="C114" s="894"/>
      <c r="D114" s="894"/>
      <c r="E114" s="894"/>
    </row>
    <row r="115" spans="1:10">
      <c r="A115" s="886">
        <f>A112+1</f>
        <v>74</v>
      </c>
      <c r="B115" s="848" t="s">
        <v>519</v>
      </c>
      <c r="C115" s="853"/>
      <c r="D115" s="915"/>
      <c r="E115" s="916"/>
      <c r="F115" s="915"/>
      <c r="G115" s="915"/>
      <c r="H115" s="853"/>
      <c r="I115" s="915"/>
      <c r="J115" s="895"/>
    </row>
    <row r="116" spans="1:10">
      <c r="A116" s="886">
        <f>A115+1</f>
        <v>75</v>
      </c>
      <c r="B116" s="848" t="s">
        <v>520</v>
      </c>
      <c r="C116" s="854"/>
      <c r="D116" s="917"/>
      <c r="E116" s="854"/>
      <c r="F116" s="917"/>
      <c r="G116" s="917"/>
      <c r="H116" s="854"/>
      <c r="I116" s="917"/>
      <c r="J116" s="896"/>
    </row>
    <row r="117" spans="1:10">
      <c r="A117" s="886">
        <f>A116+1</f>
        <v>76</v>
      </c>
      <c r="B117" s="848" t="s">
        <v>521</v>
      </c>
      <c r="C117" s="146"/>
      <c r="D117" s="918"/>
      <c r="E117" s="146"/>
      <c r="F117" s="918"/>
      <c r="G117" s="918"/>
      <c r="H117" s="146"/>
      <c r="I117" s="918"/>
    </row>
    <row r="118" spans="1:10">
      <c r="A118" s="886">
        <f>A117+1</f>
        <v>77</v>
      </c>
      <c r="B118" s="848" t="str">
        <f>"Monetary Value (Ln "&amp;A116&amp;" * Ln "&amp;A117&amp;")"</f>
        <v>Monetary Value (Ln 75 * Ln 76)</v>
      </c>
      <c r="C118" s="487">
        <f t="shared" ref="C118:I118" si="32">C116*C117</f>
        <v>0</v>
      </c>
      <c r="D118" s="487"/>
      <c r="E118" s="487">
        <f t="shared" si="32"/>
        <v>0</v>
      </c>
      <c r="F118" s="487">
        <f t="shared" si="32"/>
        <v>0</v>
      </c>
      <c r="G118" s="487">
        <f t="shared" si="32"/>
        <v>0</v>
      </c>
      <c r="H118" s="487">
        <f t="shared" si="32"/>
        <v>0</v>
      </c>
      <c r="I118" s="487">
        <f t="shared" si="32"/>
        <v>0</v>
      </c>
      <c r="J118" s="893">
        <f>SUM(C118:I118)</f>
        <v>0</v>
      </c>
    </row>
    <row r="119" spans="1:10">
      <c r="A119" s="886">
        <f>A118+1</f>
        <v>78</v>
      </c>
      <c r="B119" s="848" t="str">
        <f>"Dividend Amount (Ln "&amp;A115&amp;" * Ln "&amp;A118&amp;")"</f>
        <v>Dividend Amount (Ln 74 * Ln 77)</v>
      </c>
      <c r="C119" s="487">
        <f t="shared" ref="C119:I119" si="33">C118*C115</f>
        <v>0</v>
      </c>
      <c r="D119" s="487"/>
      <c r="E119" s="487">
        <f t="shared" si="33"/>
        <v>0</v>
      </c>
      <c r="F119" s="487">
        <f t="shared" si="33"/>
        <v>0</v>
      </c>
      <c r="G119" s="487">
        <f t="shared" si="33"/>
        <v>0</v>
      </c>
      <c r="H119" s="487">
        <f t="shared" si="33"/>
        <v>0</v>
      </c>
      <c r="I119" s="487">
        <f t="shared" si="33"/>
        <v>0</v>
      </c>
      <c r="J119" s="893">
        <f>SUM(C119:I119)</f>
        <v>0</v>
      </c>
    </row>
    <row r="121" spans="1:10">
      <c r="A121" s="886">
        <f>A119+1</f>
        <v>79</v>
      </c>
      <c r="B121" s="848" t="s">
        <v>519</v>
      </c>
      <c r="C121" s="853"/>
      <c r="D121" s="915"/>
      <c r="E121" s="916"/>
      <c r="F121" s="915"/>
      <c r="G121" s="915"/>
      <c r="H121" s="853"/>
      <c r="I121" s="915"/>
    </row>
    <row r="122" spans="1:10">
      <c r="A122" s="886">
        <f>A121+1</f>
        <v>80</v>
      </c>
      <c r="B122" s="848" t="s">
        <v>520</v>
      </c>
      <c r="C122" s="854"/>
      <c r="D122" s="917"/>
      <c r="E122" s="854"/>
      <c r="F122" s="917"/>
      <c r="G122" s="917"/>
      <c r="H122" s="854"/>
      <c r="I122" s="917"/>
    </row>
    <row r="123" spans="1:10">
      <c r="A123" s="886">
        <f>A122+1</f>
        <v>81</v>
      </c>
      <c r="B123" s="848" t="s">
        <v>521</v>
      </c>
      <c r="C123" s="146"/>
      <c r="D123" s="918"/>
      <c r="E123" s="146"/>
      <c r="F123" s="918"/>
      <c r="G123" s="918"/>
      <c r="H123" s="146"/>
      <c r="I123" s="918"/>
    </row>
    <row r="124" spans="1:10">
      <c r="A124" s="886">
        <f>A123+1</f>
        <v>82</v>
      </c>
      <c r="B124" s="848" t="str">
        <f>"Monetary Value (Ln "&amp;A122&amp;" * Ln "&amp;A123&amp;")"</f>
        <v>Monetary Value (Ln 80 * Ln 81)</v>
      </c>
      <c r="C124" s="487">
        <f t="shared" ref="C124:I124" si="34">C122*C123</f>
        <v>0</v>
      </c>
      <c r="D124" s="487"/>
      <c r="E124" s="487">
        <f t="shared" si="34"/>
        <v>0</v>
      </c>
      <c r="F124" s="487">
        <f t="shared" si="34"/>
        <v>0</v>
      </c>
      <c r="G124" s="487">
        <f t="shared" si="34"/>
        <v>0</v>
      </c>
      <c r="H124" s="487">
        <f t="shared" si="34"/>
        <v>0</v>
      </c>
      <c r="I124" s="487">
        <f t="shared" si="34"/>
        <v>0</v>
      </c>
      <c r="J124" s="893">
        <f>SUM(C124:I124)</f>
        <v>0</v>
      </c>
    </row>
    <row r="125" spans="1:10">
      <c r="A125" s="886">
        <f>A124+1</f>
        <v>83</v>
      </c>
      <c r="B125" s="848" t="str">
        <f>"Dividend Amount (Ln "&amp;A121&amp;" * Ln "&amp;A124&amp;")"</f>
        <v>Dividend Amount (Ln 79 * Ln 82)</v>
      </c>
      <c r="C125" s="487">
        <f t="shared" ref="C125:I125" si="35">C124*C121</f>
        <v>0</v>
      </c>
      <c r="D125" s="487"/>
      <c r="E125" s="487">
        <f t="shared" si="35"/>
        <v>0</v>
      </c>
      <c r="F125" s="487">
        <f t="shared" si="35"/>
        <v>0</v>
      </c>
      <c r="G125" s="487">
        <f t="shared" si="35"/>
        <v>0</v>
      </c>
      <c r="H125" s="487">
        <f t="shared" si="35"/>
        <v>0</v>
      </c>
      <c r="I125" s="487">
        <f t="shared" si="35"/>
        <v>0</v>
      </c>
      <c r="J125" s="893">
        <f>SUM(C125:I125)</f>
        <v>0</v>
      </c>
    </row>
    <row r="127" spans="1:10">
      <c r="A127" s="886">
        <f>A125+1</f>
        <v>84</v>
      </c>
      <c r="B127" s="848" t="s">
        <v>519</v>
      </c>
      <c r="C127" s="853"/>
      <c r="D127" s="915"/>
      <c r="E127" s="916"/>
      <c r="F127" s="915"/>
      <c r="G127" s="915"/>
      <c r="H127" s="853"/>
      <c r="I127" s="915"/>
    </row>
    <row r="128" spans="1:10">
      <c r="A128" s="886">
        <f>A127+1</f>
        <v>85</v>
      </c>
      <c r="B128" s="848" t="s">
        <v>520</v>
      </c>
      <c r="C128" s="854"/>
      <c r="D128" s="917"/>
      <c r="E128" s="854"/>
      <c r="F128" s="917"/>
      <c r="G128" s="917"/>
      <c r="H128" s="854"/>
      <c r="I128" s="917"/>
    </row>
    <row r="129" spans="1:10">
      <c r="A129" s="886">
        <f>A128+1</f>
        <v>86</v>
      </c>
      <c r="B129" s="848" t="s">
        <v>521</v>
      </c>
      <c r="C129" s="146"/>
      <c r="D129" s="918"/>
      <c r="E129" s="146"/>
      <c r="F129" s="918"/>
      <c r="G129" s="918"/>
      <c r="H129" s="146"/>
      <c r="I129" s="918"/>
    </row>
    <row r="130" spans="1:10">
      <c r="A130" s="886">
        <f>A129+1</f>
        <v>87</v>
      </c>
      <c r="B130" s="848" t="str">
        <f>"Monetary Value (Ln "&amp;A128&amp;" * Ln "&amp;A129&amp;")"</f>
        <v>Monetary Value (Ln 85 * Ln 86)</v>
      </c>
      <c r="C130" s="487">
        <f t="shared" ref="C130:I130" si="36">C128*C129</f>
        <v>0</v>
      </c>
      <c r="D130" s="487"/>
      <c r="E130" s="487">
        <f t="shared" si="36"/>
        <v>0</v>
      </c>
      <c r="F130" s="487">
        <f t="shared" si="36"/>
        <v>0</v>
      </c>
      <c r="G130" s="487">
        <f t="shared" si="36"/>
        <v>0</v>
      </c>
      <c r="H130" s="487">
        <f t="shared" si="36"/>
        <v>0</v>
      </c>
      <c r="I130" s="487">
        <f t="shared" si="36"/>
        <v>0</v>
      </c>
      <c r="J130" s="893">
        <f>SUM(C130:I130)</f>
        <v>0</v>
      </c>
    </row>
    <row r="131" spans="1:10">
      <c r="A131" s="886">
        <f>A130+1</f>
        <v>88</v>
      </c>
      <c r="B131" s="848" t="str">
        <f>"Dividend Amount (Ln "&amp;A127&amp;" * Ln "&amp;A130&amp;")"</f>
        <v>Dividend Amount (Ln 84 * Ln 87)</v>
      </c>
      <c r="C131" s="487">
        <f t="shared" ref="C131:I131" si="37">C130*C127</f>
        <v>0</v>
      </c>
      <c r="D131" s="487"/>
      <c r="E131" s="487">
        <f t="shared" si="37"/>
        <v>0</v>
      </c>
      <c r="F131" s="487">
        <f t="shared" si="37"/>
        <v>0</v>
      </c>
      <c r="G131" s="487">
        <f t="shared" si="37"/>
        <v>0</v>
      </c>
      <c r="H131" s="487">
        <f t="shared" si="37"/>
        <v>0</v>
      </c>
      <c r="I131" s="487">
        <f t="shared" si="37"/>
        <v>0</v>
      </c>
      <c r="J131" s="893">
        <f>SUM(C131:I131)</f>
        <v>0</v>
      </c>
    </row>
    <row r="133" spans="1:10">
      <c r="A133" s="886">
        <f>A131+1</f>
        <v>89</v>
      </c>
      <c r="B133" s="848" t="s">
        <v>519</v>
      </c>
      <c r="C133" s="853"/>
      <c r="D133" s="915"/>
      <c r="E133" s="916"/>
      <c r="F133" s="915"/>
      <c r="G133" s="915"/>
      <c r="H133" s="853"/>
      <c r="I133" s="915"/>
    </row>
    <row r="134" spans="1:10">
      <c r="A134" s="886">
        <f>A133+1</f>
        <v>90</v>
      </c>
      <c r="B134" s="848" t="s">
        <v>520</v>
      </c>
      <c r="C134" s="854"/>
      <c r="D134" s="917"/>
      <c r="E134" s="854"/>
      <c r="F134" s="917"/>
      <c r="G134" s="917"/>
      <c r="H134" s="854"/>
      <c r="I134" s="917"/>
    </row>
    <row r="135" spans="1:10">
      <c r="A135" s="886">
        <f>A134+1</f>
        <v>91</v>
      </c>
      <c r="B135" s="848" t="s">
        <v>521</v>
      </c>
      <c r="C135" s="146"/>
      <c r="D135" s="918"/>
      <c r="E135" s="146"/>
      <c r="F135" s="918"/>
      <c r="G135" s="918"/>
      <c r="H135" s="146"/>
      <c r="I135" s="918"/>
    </row>
    <row r="136" spans="1:10">
      <c r="A136" s="886">
        <f>A135+1</f>
        <v>92</v>
      </c>
      <c r="B136" s="848" t="str">
        <f>"Monetary Value (Ln "&amp;A134&amp;" * Ln "&amp;A135&amp;")"</f>
        <v>Monetary Value (Ln 90 * Ln 91)</v>
      </c>
      <c r="C136" s="487">
        <f t="shared" ref="C136:I136" si="38">C134*C135</f>
        <v>0</v>
      </c>
      <c r="D136" s="487"/>
      <c r="E136" s="487">
        <f t="shared" si="38"/>
        <v>0</v>
      </c>
      <c r="F136" s="487">
        <f t="shared" si="38"/>
        <v>0</v>
      </c>
      <c r="G136" s="487">
        <f t="shared" si="38"/>
        <v>0</v>
      </c>
      <c r="H136" s="487">
        <f t="shared" si="38"/>
        <v>0</v>
      </c>
      <c r="I136" s="487">
        <f t="shared" si="38"/>
        <v>0</v>
      </c>
      <c r="J136" s="893">
        <f>SUM(C136:I136)</f>
        <v>0</v>
      </c>
    </row>
    <row r="137" spans="1:10">
      <c r="A137" s="886">
        <f>A136+1</f>
        <v>93</v>
      </c>
      <c r="B137" s="848" t="str">
        <f>"Dividend Amount (Ln "&amp;A133&amp;" * Ln "&amp;A136&amp;")"</f>
        <v>Dividend Amount (Ln 89 * Ln 92)</v>
      </c>
      <c r="C137" s="487">
        <f t="shared" ref="C137:I137" si="39">C136*C133</f>
        <v>0</v>
      </c>
      <c r="D137" s="487"/>
      <c r="E137" s="487">
        <f t="shared" si="39"/>
        <v>0</v>
      </c>
      <c r="F137" s="487">
        <f t="shared" si="39"/>
        <v>0</v>
      </c>
      <c r="G137" s="487">
        <f t="shared" si="39"/>
        <v>0</v>
      </c>
      <c r="H137" s="487">
        <f t="shared" si="39"/>
        <v>0</v>
      </c>
      <c r="I137" s="487">
        <f t="shared" si="39"/>
        <v>0</v>
      </c>
      <c r="J137" s="893">
        <f>SUM(C137:I137)</f>
        <v>0</v>
      </c>
    </row>
    <row r="138" spans="1:10">
      <c r="B138" s="848"/>
    </row>
    <row r="139" spans="1:10">
      <c r="A139" s="886">
        <f>A137+1</f>
        <v>94</v>
      </c>
      <c r="B139" s="846" t="str">
        <f>"Preferred Stock (Lns "&amp;A118&amp;", "&amp;A124&amp;", "&amp;A130&amp;","&amp;A136&amp;")"</f>
        <v>Preferred Stock (Lns 77, 82, 87,92)</v>
      </c>
      <c r="C139" s="893">
        <f t="shared" ref="C139:I140" si="40">C118+C124+C130+C136</f>
        <v>0</v>
      </c>
      <c r="D139" s="893"/>
      <c r="E139" s="893">
        <f t="shared" si="40"/>
        <v>0</v>
      </c>
      <c r="F139" s="893">
        <f t="shared" si="40"/>
        <v>0</v>
      </c>
      <c r="G139" s="893">
        <f t="shared" si="40"/>
        <v>0</v>
      </c>
      <c r="H139" s="893">
        <f t="shared" si="40"/>
        <v>0</v>
      </c>
      <c r="I139" s="893">
        <f t="shared" si="40"/>
        <v>0</v>
      </c>
      <c r="J139" s="893">
        <f>SUM(C139:I139)</f>
        <v>0</v>
      </c>
    </row>
    <row r="140" spans="1:10">
      <c r="A140" s="886">
        <f>A139+1</f>
        <v>95</v>
      </c>
      <c r="B140" s="846" t="str">
        <f>"Preferred Dividends (Lns "&amp;A119&amp;", "&amp;A125&amp;", "&amp;A131&amp;","&amp;A137&amp;")"</f>
        <v>Preferred Dividends (Lns 78, 83, 88,93)</v>
      </c>
      <c r="C140" s="893">
        <f t="shared" si="40"/>
        <v>0</v>
      </c>
      <c r="D140" s="893"/>
      <c r="E140" s="893">
        <f t="shared" si="40"/>
        <v>0</v>
      </c>
      <c r="F140" s="893">
        <f t="shared" si="40"/>
        <v>0</v>
      </c>
      <c r="G140" s="893">
        <f t="shared" si="40"/>
        <v>0</v>
      </c>
      <c r="H140" s="893">
        <f t="shared" si="40"/>
        <v>0</v>
      </c>
      <c r="I140" s="893">
        <f t="shared" si="40"/>
        <v>0</v>
      </c>
      <c r="J140" s="893">
        <f>SUM(C140:I140)</f>
        <v>0</v>
      </c>
    </row>
    <row r="141" spans="1:10">
      <c r="B141" s="897"/>
    </row>
    <row r="142" spans="1:10" ht="15">
      <c r="A142" s="845" t="s">
        <v>522</v>
      </c>
    </row>
    <row r="143" spans="1:10">
      <c r="A143" s="886">
        <f>A140+1</f>
        <v>96</v>
      </c>
      <c r="B143" s="664" t="s">
        <v>523</v>
      </c>
      <c r="C143" s="146"/>
      <c r="D143" s="146"/>
      <c r="E143" s="146"/>
      <c r="F143" s="146"/>
      <c r="G143" s="146"/>
      <c r="H143" s="146"/>
      <c r="I143" s="146"/>
      <c r="J143" s="893">
        <f>SUM(C143:I143)</f>
        <v>0</v>
      </c>
    </row>
    <row r="144" spans="1:10">
      <c r="A144" s="886">
        <f>A143+1</f>
        <v>97</v>
      </c>
      <c r="B144" s="664" t="str">
        <f>"Less: Preferred Stock (Ln "&amp;A139&amp;" Above)"</f>
        <v>Less: Preferred Stock (Ln 94 Above)</v>
      </c>
      <c r="C144" s="488">
        <f>C139</f>
        <v>0</v>
      </c>
      <c r="D144" s="488"/>
      <c r="E144" s="488">
        <f>E139</f>
        <v>0</v>
      </c>
      <c r="F144" s="488">
        <f>F139</f>
        <v>0</v>
      </c>
      <c r="G144" s="488">
        <f>G139</f>
        <v>0</v>
      </c>
      <c r="H144" s="488">
        <f>H139</f>
        <v>0</v>
      </c>
      <c r="I144" s="488">
        <f>I139</f>
        <v>0</v>
      </c>
      <c r="J144" s="893">
        <f>SUM(C144:I144)</f>
        <v>0</v>
      </c>
    </row>
    <row r="145" spans="1:10">
      <c r="A145" s="886">
        <f>A144+1</f>
        <v>98</v>
      </c>
      <c r="B145" s="664" t="s">
        <v>524</v>
      </c>
      <c r="C145" s="852"/>
      <c r="D145" s="852"/>
      <c r="E145" s="852"/>
      <c r="F145" s="852"/>
      <c r="G145" s="852"/>
      <c r="H145" s="852"/>
      <c r="I145" s="852"/>
      <c r="J145" s="893">
        <f>SUM(C145:I145)</f>
        <v>0</v>
      </c>
    </row>
    <row r="146" spans="1:10">
      <c r="A146" s="886">
        <f>A145+1</f>
        <v>99</v>
      </c>
      <c r="B146" s="664" t="s">
        <v>525</v>
      </c>
      <c r="C146" s="147"/>
      <c r="D146" s="147"/>
      <c r="E146" s="147"/>
      <c r="F146" s="147"/>
      <c r="G146" s="147"/>
      <c r="H146" s="147"/>
      <c r="I146" s="147"/>
      <c r="J146" s="898">
        <f>SUM(C146:I146)</f>
        <v>0</v>
      </c>
    </row>
    <row r="147" spans="1:10">
      <c r="A147" s="886">
        <f>A146+1</f>
        <v>100</v>
      </c>
      <c r="B147" s="847" t="s">
        <v>526</v>
      </c>
      <c r="C147" s="832">
        <f t="shared" ref="C147:J147" si="41">C143-C144-C145-C146</f>
        <v>0</v>
      </c>
      <c r="D147" s="832"/>
      <c r="E147" s="832">
        <f t="shared" si="41"/>
        <v>0</v>
      </c>
      <c r="F147" s="832">
        <f t="shared" si="41"/>
        <v>0</v>
      </c>
      <c r="G147" s="832">
        <f t="shared" si="41"/>
        <v>0</v>
      </c>
      <c r="H147" s="832">
        <f t="shared" si="41"/>
        <v>0</v>
      </c>
      <c r="I147" s="832">
        <f t="shared" si="41"/>
        <v>0</v>
      </c>
      <c r="J147" s="832">
        <f t="shared" si="41"/>
        <v>0</v>
      </c>
    </row>
    <row r="149" spans="1:10" ht="15">
      <c r="A149" s="845" t="s">
        <v>527</v>
      </c>
    </row>
    <row r="150" spans="1:10">
      <c r="A150" s="886">
        <f>A147+1</f>
        <v>101</v>
      </c>
      <c r="B150" s="467" t="str">
        <f>"Long Term Debt (Ln "&amp;A101&amp;" Above)"</f>
        <v>Long Term Debt (Ln 65 Above)</v>
      </c>
      <c r="C150" s="893">
        <f t="shared" ref="C150:J150" si="42">C101</f>
        <v>0</v>
      </c>
      <c r="D150" s="893"/>
      <c r="E150" s="893">
        <f t="shared" si="42"/>
        <v>0</v>
      </c>
      <c r="F150" s="893">
        <f t="shared" si="42"/>
        <v>0</v>
      </c>
      <c r="G150" s="893">
        <f t="shared" si="42"/>
        <v>0</v>
      </c>
      <c r="H150" s="893">
        <f t="shared" si="42"/>
        <v>0</v>
      </c>
      <c r="I150" s="893">
        <f t="shared" si="42"/>
        <v>0</v>
      </c>
      <c r="J150" s="893">
        <f t="shared" si="42"/>
        <v>0</v>
      </c>
    </row>
    <row r="151" spans="1:10">
      <c r="A151" s="886">
        <f>A150+1</f>
        <v>102</v>
      </c>
      <c r="B151" s="467" t="str">
        <f>"Preferred Stock (Ln "&amp;A139&amp;" Above)"</f>
        <v>Preferred Stock (Ln 94 Above)</v>
      </c>
      <c r="C151" s="893">
        <f t="shared" ref="C151:J151" si="43">C139</f>
        <v>0</v>
      </c>
      <c r="D151" s="893"/>
      <c r="E151" s="893">
        <f t="shared" si="43"/>
        <v>0</v>
      </c>
      <c r="F151" s="893">
        <f t="shared" si="43"/>
        <v>0</v>
      </c>
      <c r="G151" s="893">
        <f t="shared" si="43"/>
        <v>0</v>
      </c>
      <c r="H151" s="893">
        <f t="shared" si="43"/>
        <v>0</v>
      </c>
      <c r="I151" s="893">
        <f t="shared" si="43"/>
        <v>0</v>
      </c>
      <c r="J151" s="893">
        <f t="shared" si="43"/>
        <v>0</v>
      </c>
    </row>
    <row r="152" spans="1:10">
      <c r="A152" s="886">
        <f>A151+1</f>
        <v>103</v>
      </c>
      <c r="B152" s="467" t="str">
        <f>"Common Equity (Ln "&amp;A147&amp;" Above)"</f>
        <v>Common Equity (Ln 100 Above)</v>
      </c>
      <c r="C152" s="898">
        <f t="shared" ref="C152:J152" si="44">C147</f>
        <v>0</v>
      </c>
      <c r="D152" s="898"/>
      <c r="E152" s="898">
        <f t="shared" si="44"/>
        <v>0</v>
      </c>
      <c r="F152" s="898">
        <f t="shared" si="44"/>
        <v>0</v>
      </c>
      <c r="G152" s="898">
        <f t="shared" si="44"/>
        <v>0</v>
      </c>
      <c r="H152" s="898">
        <f t="shared" si="44"/>
        <v>0</v>
      </c>
      <c r="I152" s="898">
        <f t="shared" si="44"/>
        <v>0</v>
      </c>
      <c r="J152" s="898">
        <f t="shared" si="44"/>
        <v>0</v>
      </c>
    </row>
    <row r="153" spans="1:10">
      <c r="A153" s="886">
        <f>A152+1</f>
        <v>104</v>
      </c>
      <c r="B153" s="886" t="s">
        <v>528</v>
      </c>
      <c r="C153" s="893">
        <f t="shared" ref="C153:J153" si="45">SUM(C150:C152)</f>
        <v>0</v>
      </c>
      <c r="D153" s="893"/>
      <c r="E153" s="893">
        <f t="shared" si="45"/>
        <v>0</v>
      </c>
      <c r="F153" s="893">
        <f t="shared" si="45"/>
        <v>0</v>
      </c>
      <c r="G153" s="893">
        <f t="shared" si="45"/>
        <v>0</v>
      </c>
      <c r="H153" s="893">
        <f t="shared" si="45"/>
        <v>0</v>
      </c>
      <c r="I153" s="893">
        <f t="shared" si="45"/>
        <v>0</v>
      </c>
      <c r="J153" s="893">
        <f t="shared" si="45"/>
        <v>0</v>
      </c>
    </row>
    <row r="155" spans="1:10">
      <c r="A155" s="886">
        <f>A153+1</f>
        <v>105</v>
      </c>
      <c r="B155" s="467" t="str">
        <f>"LTD Capital Shares (Ln "&amp;A150&amp;" / Ln "&amp;A153&amp;")"</f>
        <v>LTD Capital Shares (Ln 101 / Ln 104)</v>
      </c>
      <c r="C155" s="899" t="e">
        <f t="shared" ref="C155:J155" si="46">C150/C153</f>
        <v>#DIV/0!</v>
      </c>
      <c r="D155" s="899"/>
      <c r="E155" s="899" t="e">
        <f t="shared" si="46"/>
        <v>#DIV/0!</v>
      </c>
      <c r="F155" s="899" t="e">
        <f t="shared" si="46"/>
        <v>#DIV/0!</v>
      </c>
      <c r="G155" s="899" t="e">
        <f t="shared" si="46"/>
        <v>#DIV/0!</v>
      </c>
      <c r="H155" s="899" t="e">
        <f t="shared" si="46"/>
        <v>#DIV/0!</v>
      </c>
      <c r="I155" s="899" t="e">
        <f t="shared" si="46"/>
        <v>#DIV/0!</v>
      </c>
      <c r="J155" s="899" t="e">
        <f t="shared" si="46"/>
        <v>#DIV/0!</v>
      </c>
    </row>
    <row r="156" spans="1:10">
      <c r="A156" s="886">
        <f>A155+1</f>
        <v>106</v>
      </c>
      <c r="B156" s="467" t="str">
        <f>"Preferred Stock Capital Shares (Ln "&amp;A151&amp;" / Ln "&amp;A153&amp;")"</f>
        <v>Preferred Stock Capital Shares (Ln 102 / Ln 104)</v>
      </c>
      <c r="C156" s="899" t="e">
        <f t="shared" ref="C156:J156" si="47">C151/C153</f>
        <v>#DIV/0!</v>
      </c>
      <c r="D156" s="899"/>
      <c r="E156" s="899" t="e">
        <f t="shared" si="47"/>
        <v>#DIV/0!</v>
      </c>
      <c r="F156" s="899" t="e">
        <f t="shared" si="47"/>
        <v>#DIV/0!</v>
      </c>
      <c r="G156" s="899" t="e">
        <f t="shared" si="47"/>
        <v>#DIV/0!</v>
      </c>
      <c r="H156" s="899" t="e">
        <f t="shared" si="47"/>
        <v>#DIV/0!</v>
      </c>
      <c r="I156" s="899" t="e">
        <f t="shared" si="47"/>
        <v>#DIV/0!</v>
      </c>
      <c r="J156" s="899" t="e">
        <f t="shared" si="47"/>
        <v>#DIV/0!</v>
      </c>
    </row>
    <row r="157" spans="1:10">
      <c r="A157" s="900">
        <f>A156+1</f>
        <v>107</v>
      </c>
      <c r="B157" s="467" t="str">
        <f>"Common Equity Capital Shares (Ln "&amp;A152&amp;" / Ln "&amp;A153&amp;")"</f>
        <v>Common Equity Capital Shares (Ln 103 / Ln 104)</v>
      </c>
      <c r="C157" s="901" t="e">
        <f t="shared" ref="C157:J157" si="48">C152/C153</f>
        <v>#DIV/0!</v>
      </c>
      <c r="D157" s="901"/>
      <c r="E157" s="901" t="e">
        <f t="shared" si="48"/>
        <v>#DIV/0!</v>
      </c>
      <c r="F157" s="901" t="e">
        <f t="shared" si="48"/>
        <v>#DIV/0!</v>
      </c>
      <c r="G157" s="901" t="e">
        <f t="shared" si="48"/>
        <v>#DIV/0!</v>
      </c>
      <c r="H157" s="901" t="e">
        <f t="shared" si="48"/>
        <v>#DIV/0!</v>
      </c>
      <c r="I157" s="901" t="e">
        <f t="shared" si="48"/>
        <v>#DIV/0!</v>
      </c>
      <c r="J157" s="901" t="e">
        <f t="shared" si="48"/>
        <v>#DIV/0!</v>
      </c>
    </row>
    <row r="158" spans="1:10">
      <c r="A158" s="900"/>
      <c r="B158" s="467"/>
      <c r="C158" s="901"/>
      <c r="D158" s="901"/>
      <c r="E158" s="901"/>
      <c r="F158" s="901"/>
      <c r="G158" s="901"/>
      <c r="H158" s="901"/>
      <c r="I158" s="901"/>
      <c r="J158" s="901"/>
    </row>
    <row r="159" spans="1:10">
      <c r="A159" s="900">
        <f>A157+1</f>
        <v>108</v>
      </c>
      <c r="B159" s="846" t="s">
        <v>558</v>
      </c>
      <c r="C159" s="902"/>
      <c r="D159" s="902"/>
      <c r="E159" s="902"/>
      <c r="F159" s="902"/>
      <c r="G159" s="902"/>
      <c r="H159" s="902"/>
      <c r="I159" s="902"/>
      <c r="J159" s="902"/>
    </row>
    <row r="160" spans="1:10">
      <c r="A160" s="900"/>
      <c r="B160" s="467"/>
      <c r="C160" s="901"/>
      <c r="D160" s="901"/>
      <c r="E160" s="901"/>
      <c r="F160" s="901"/>
      <c r="G160" s="901"/>
      <c r="H160" s="901"/>
      <c r="I160" s="901"/>
      <c r="J160" s="901"/>
    </row>
    <row r="161" spans="1:10">
      <c r="A161" s="900">
        <f>A159+1</f>
        <v>109</v>
      </c>
      <c r="B161" s="846" t="s">
        <v>558</v>
      </c>
      <c r="C161" s="901"/>
      <c r="D161" s="901"/>
      <c r="E161" s="901"/>
      <c r="F161" s="901"/>
      <c r="G161" s="901"/>
      <c r="H161" s="901"/>
      <c r="I161" s="901"/>
      <c r="J161" s="901"/>
    </row>
    <row r="162" spans="1:10">
      <c r="A162" s="900">
        <f>A161+1</f>
        <v>110</v>
      </c>
      <c r="B162" s="846" t="s">
        <v>558</v>
      </c>
      <c r="C162" s="901"/>
      <c r="D162" s="901"/>
      <c r="E162" s="901"/>
      <c r="F162" s="901"/>
      <c r="G162" s="901"/>
      <c r="H162" s="901"/>
      <c r="I162" s="901"/>
      <c r="J162" s="901"/>
    </row>
    <row r="163" spans="1:10">
      <c r="A163" s="900">
        <f>A162+1</f>
        <v>111</v>
      </c>
      <c r="B163" s="846" t="s">
        <v>558</v>
      </c>
      <c r="C163" s="901"/>
      <c r="D163" s="901"/>
      <c r="E163" s="901"/>
      <c r="F163" s="901"/>
      <c r="G163" s="901"/>
      <c r="H163" s="901"/>
      <c r="I163" s="901"/>
      <c r="J163" s="901"/>
    </row>
    <row r="164" spans="1:10">
      <c r="B164" s="467"/>
      <c r="C164" s="899"/>
      <c r="D164" s="899"/>
      <c r="E164" s="899"/>
      <c r="F164" s="899"/>
      <c r="G164" s="899"/>
      <c r="H164" s="899"/>
      <c r="I164" s="899"/>
      <c r="J164" s="899"/>
    </row>
    <row r="165" spans="1:10" ht="15">
      <c r="A165" s="845" t="s">
        <v>529</v>
      </c>
    </row>
    <row r="166" spans="1:10">
      <c r="A166" s="886">
        <f>A163+1</f>
        <v>112</v>
      </c>
      <c r="B166" s="467" t="str">
        <f>"LTD Capital Cost Rate (Ln "&amp;A112&amp;" / Ln "&amp;A101&amp;")"</f>
        <v>LTD Capital Cost Rate (Ln 73 / Ln 65)</v>
      </c>
      <c r="C166" s="899" t="e">
        <f t="shared" ref="C166:J166" si="49">C112/C101</f>
        <v>#DIV/0!</v>
      </c>
      <c r="D166" s="899"/>
      <c r="E166" s="899" t="e">
        <f t="shared" si="49"/>
        <v>#DIV/0!</v>
      </c>
      <c r="F166" s="899" t="e">
        <f t="shared" si="49"/>
        <v>#DIV/0!</v>
      </c>
      <c r="G166" s="899" t="e">
        <f t="shared" si="49"/>
        <v>#DIV/0!</v>
      </c>
      <c r="H166" s="899" t="e">
        <f t="shared" si="49"/>
        <v>#DIV/0!</v>
      </c>
      <c r="I166" s="899" t="e">
        <f t="shared" si="49"/>
        <v>#DIV/0!</v>
      </c>
      <c r="J166" s="899" t="e">
        <f t="shared" si="49"/>
        <v>#DIV/0!</v>
      </c>
    </row>
    <row r="167" spans="1:10">
      <c r="A167" s="886">
        <f>A166+1</f>
        <v>113</v>
      </c>
      <c r="B167" s="467" t="str">
        <f>"Preferred Stock Capital Cost Rate (Ln "&amp;A140&amp;" / Ln "&amp;A139&amp;")"</f>
        <v>Preferred Stock Capital Cost Rate (Ln 95 / Ln 94)</v>
      </c>
      <c r="C167" s="899">
        <f t="shared" ref="C167:J167" si="50">IF(C139=0,0,C140/C139)</f>
        <v>0</v>
      </c>
      <c r="D167" s="899"/>
      <c r="E167" s="899">
        <f t="shared" si="50"/>
        <v>0</v>
      </c>
      <c r="F167" s="899">
        <f t="shared" si="50"/>
        <v>0</v>
      </c>
      <c r="G167" s="899">
        <f t="shared" si="50"/>
        <v>0</v>
      </c>
      <c r="H167" s="899">
        <f t="shared" si="50"/>
        <v>0</v>
      </c>
      <c r="I167" s="899">
        <f t="shared" si="50"/>
        <v>0</v>
      </c>
      <c r="J167" s="899">
        <f t="shared" si="50"/>
        <v>0</v>
      </c>
    </row>
    <row r="168" spans="1:10">
      <c r="A168" s="886">
        <f>A167+1</f>
        <v>114</v>
      </c>
      <c r="B168" s="467" t="s">
        <v>530</v>
      </c>
      <c r="C168" s="899">
        <v>0.1149</v>
      </c>
      <c r="D168" s="899"/>
      <c r="E168" s="899">
        <v>0.1149</v>
      </c>
      <c r="F168" s="899">
        <v>0.1149</v>
      </c>
      <c r="G168" s="899">
        <v>0.1149</v>
      </c>
      <c r="H168" s="899">
        <v>0.1149</v>
      </c>
      <c r="I168" s="899">
        <v>0.1149</v>
      </c>
      <c r="J168" s="899">
        <v>0.1149</v>
      </c>
    </row>
    <row r="170" spans="1:10" ht="15">
      <c r="A170" s="845" t="s">
        <v>531</v>
      </c>
    </row>
    <row r="171" spans="1:10">
      <c r="A171" s="886">
        <f>A168+1</f>
        <v>115</v>
      </c>
      <c r="B171" s="467" t="str">
        <f>"LTD Weighted Capital Cost Rate (Ln "&amp;A155&amp;" * Ln "&amp;A166&amp;")"</f>
        <v>LTD Weighted Capital Cost Rate (Ln 105 * Ln 112)</v>
      </c>
      <c r="C171" s="899" t="e">
        <f>C155*C166</f>
        <v>#DIV/0!</v>
      </c>
      <c r="D171" s="899"/>
      <c r="E171" s="899" t="e">
        <f t="shared" ref="E171:J171" si="51">E155*E166</f>
        <v>#DIV/0!</v>
      </c>
      <c r="F171" s="899" t="e">
        <f t="shared" si="51"/>
        <v>#DIV/0!</v>
      </c>
      <c r="G171" s="899" t="e">
        <f t="shared" si="51"/>
        <v>#DIV/0!</v>
      </c>
      <c r="H171" s="899" t="e">
        <f t="shared" si="51"/>
        <v>#DIV/0!</v>
      </c>
      <c r="I171" s="899" t="e">
        <f t="shared" si="51"/>
        <v>#DIV/0!</v>
      </c>
      <c r="J171" s="899" t="e">
        <f t="shared" si="51"/>
        <v>#DIV/0!</v>
      </c>
    </row>
    <row r="172" spans="1:10">
      <c r="A172" s="886">
        <f>A171+1</f>
        <v>116</v>
      </c>
      <c r="B172" s="467" t="str">
        <f>"Preferred Stock Capital Cost Rate (Ln "&amp;A156&amp;" * Ln "&amp;A167&amp;")"</f>
        <v>Preferred Stock Capital Cost Rate (Ln 106 * Ln 113)</v>
      </c>
      <c r="C172" s="899" t="e">
        <f>C156*C167</f>
        <v>#DIV/0!</v>
      </c>
      <c r="D172" s="899"/>
      <c r="E172" s="899" t="e">
        <f t="shared" ref="E172:J172" si="52">E156*E167</f>
        <v>#DIV/0!</v>
      </c>
      <c r="F172" s="899" t="e">
        <f t="shared" si="52"/>
        <v>#DIV/0!</v>
      </c>
      <c r="G172" s="899" t="e">
        <f t="shared" si="52"/>
        <v>#DIV/0!</v>
      </c>
      <c r="H172" s="899" t="e">
        <f t="shared" si="52"/>
        <v>#DIV/0!</v>
      </c>
      <c r="I172" s="899" t="e">
        <f t="shared" si="52"/>
        <v>#DIV/0!</v>
      </c>
      <c r="J172" s="899" t="e">
        <f t="shared" si="52"/>
        <v>#DIV/0!</v>
      </c>
    </row>
    <row r="173" spans="1:10">
      <c r="A173" s="886">
        <f>A172+1</f>
        <v>117</v>
      </c>
      <c r="B173" s="467" t="str">
        <f>"Common Equity Capital Cost Rate (Ln "&amp;A157&amp;" * Ln "&amp;A168&amp;")"</f>
        <v>Common Equity Capital Cost Rate (Ln 107 * Ln 114)</v>
      </c>
      <c r="C173" s="903" t="e">
        <f>C157*C168</f>
        <v>#DIV/0!</v>
      </c>
      <c r="D173" s="903"/>
      <c r="E173" s="903" t="e">
        <f t="shared" ref="E173:J173" si="53">E157*E168</f>
        <v>#DIV/0!</v>
      </c>
      <c r="F173" s="903" t="e">
        <f t="shared" si="53"/>
        <v>#DIV/0!</v>
      </c>
      <c r="G173" s="903" t="e">
        <f t="shared" si="53"/>
        <v>#DIV/0!</v>
      </c>
      <c r="H173" s="903" t="e">
        <f t="shared" si="53"/>
        <v>#DIV/0!</v>
      </c>
      <c r="I173" s="903" t="e">
        <f t="shared" si="53"/>
        <v>#DIV/0!</v>
      </c>
      <c r="J173" s="903" t="e">
        <f t="shared" si="53"/>
        <v>#DIV/0!</v>
      </c>
    </row>
    <row r="174" spans="1:10">
      <c r="A174" s="886">
        <f>A173+1</f>
        <v>118</v>
      </c>
      <c r="B174" s="904" t="s">
        <v>528</v>
      </c>
      <c r="C174" s="905" t="e">
        <f t="shared" ref="C174:J174" si="54">SUM(C171:C173)</f>
        <v>#DIV/0!</v>
      </c>
      <c r="D174" s="905"/>
      <c r="E174" s="905" t="e">
        <f t="shared" si="54"/>
        <v>#DIV/0!</v>
      </c>
      <c r="F174" s="905" t="e">
        <f t="shared" si="54"/>
        <v>#DIV/0!</v>
      </c>
      <c r="G174" s="905" t="e">
        <f t="shared" si="54"/>
        <v>#DIV/0!</v>
      </c>
      <c r="H174" s="905" t="e">
        <f t="shared" si="54"/>
        <v>#DIV/0!</v>
      </c>
      <c r="I174" s="905" t="e">
        <f t="shared" si="54"/>
        <v>#DIV/0!</v>
      </c>
      <c r="J174" s="905" t="e">
        <f t="shared" si="54"/>
        <v>#DIV/0!</v>
      </c>
    </row>
    <row r="177" spans="1:10">
      <c r="A177" s="1556" t="s">
        <v>507</v>
      </c>
      <c r="B177" s="1556"/>
      <c r="C177" s="1556"/>
      <c r="D177" s="1556"/>
      <c r="E177" s="1556"/>
      <c r="F177" s="1556"/>
      <c r="G177" s="1556"/>
      <c r="H177" s="1556"/>
      <c r="I177" s="1556"/>
      <c r="J177" s="1556"/>
    </row>
    <row r="178" spans="1:10">
      <c r="A178" s="1556" t="s">
        <v>532</v>
      </c>
      <c r="B178" s="1556"/>
      <c r="C178" s="1556"/>
      <c r="D178" s="1556"/>
      <c r="E178" s="1556"/>
      <c r="F178" s="1556"/>
      <c r="G178" s="1556"/>
      <c r="H178" s="1556"/>
      <c r="I178" s="1556"/>
      <c r="J178" s="1556"/>
    </row>
    <row r="179" spans="1:10">
      <c r="A179" s="1556" t="s">
        <v>250</v>
      </c>
      <c r="B179" s="1556"/>
      <c r="C179" s="1556"/>
      <c r="D179" s="1556"/>
      <c r="E179" s="1556"/>
      <c r="F179" s="1556"/>
      <c r="G179" s="1556"/>
      <c r="H179" s="1556"/>
      <c r="I179" s="1556"/>
      <c r="J179" s="1556"/>
    </row>
    <row r="181" spans="1:10" ht="76.5">
      <c r="A181" s="886" t="s">
        <v>461</v>
      </c>
      <c r="C181" s="887" t="s">
        <v>508</v>
      </c>
      <c r="D181" s="887"/>
      <c r="E181" s="887" t="s">
        <v>509</v>
      </c>
      <c r="F181" s="887" t="s">
        <v>510</v>
      </c>
      <c r="G181" s="887" t="s">
        <v>511</v>
      </c>
      <c r="H181" s="887" t="s">
        <v>512</v>
      </c>
      <c r="I181" s="887" t="s">
        <v>513</v>
      </c>
      <c r="J181" s="887" t="s">
        <v>514</v>
      </c>
    </row>
    <row r="182" spans="1:10" ht="15">
      <c r="A182" s="845" t="s">
        <v>533</v>
      </c>
    </row>
    <row r="183" spans="1:10">
      <c r="A183" s="886">
        <f>A174+1</f>
        <v>119</v>
      </c>
      <c r="B183" s="849" t="str">
        <f>"Average Bonds (Ln "&amp;A9&amp;" + Ln "&amp;A96&amp;") / 2"</f>
        <v>Average Bonds (Ln 1 + Ln 60) / 2</v>
      </c>
      <c r="C183" s="832" t="e">
        <f t="shared" ref="C183:I187" si="55">AVERAGE(C9,C96)</f>
        <v>#DIV/0!</v>
      </c>
      <c r="D183" s="832"/>
      <c r="E183" s="832" t="e">
        <f t="shared" si="55"/>
        <v>#DIV/0!</v>
      </c>
      <c r="F183" s="832" t="e">
        <f t="shared" si="55"/>
        <v>#DIV/0!</v>
      </c>
      <c r="G183" s="832" t="e">
        <f t="shared" si="55"/>
        <v>#DIV/0!</v>
      </c>
      <c r="H183" s="832" t="e">
        <f t="shared" si="55"/>
        <v>#DIV/0!</v>
      </c>
      <c r="I183" s="832" t="e">
        <f t="shared" si="55"/>
        <v>#DIV/0!</v>
      </c>
      <c r="J183" s="832" t="e">
        <f>SUM(C183:I183)</f>
        <v>#DIV/0!</v>
      </c>
    </row>
    <row r="184" spans="1:10">
      <c r="A184" s="886">
        <f>A183+1</f>
        <v>120</v>
      </c>
      <c r="B184" s="849" t="str">
        <f>"Less: Average Reacquired Bonds (Ln "&amp;A10&amp;" + Ln "&amp;A97&amp;") / 2"</f>
        <v>Less: Average Reacquired Bonds (Ln 2 + Ln 61) / 2</v>
      </c>
      <c r="C184" s="832" t="e">
        <f t="shared" si="55"/>
        <v>#DIV/0!</v>
      </c>
      <c r="D184" s="832"/>
      <c r="E184" s="832" t="e">
        <f t="shared" si="55"/>
        <v>#DIV/0!</v>
      </c>
      <c r="F184" s="832" t="e">
        <f t="shared" si="55"/>
        <v>#DIV/0!</v>
      </c>
      <c r="G184" s="832" t="e">
        <f t="shared" si="55"/>
        <v>#DIV/0!</v>
      </c>
      <c r="H184" s="832" t="e">
        <f t="shared" si="55"/>
        <v>#DIV/0!</v>
      </c>
      <c r="I184" s="832" t="e">
        <f t="shared" si="55"/>
        <v>#DIV/0!</v>
      </c>
      <c r="J184" s="832" t="e">
        <f>SUM(C184:I184)</f>
        <v>#DIV/0!</v>
      </c>
    </row>
    <row r="185" spans="1:10">
      <c r="A185" s="886">
        <f>A184+1</f>
        <v>121</v>
      </c>
      <c r="B185" s="850" t="str">
        <f>"Average LT Advances from Assoc. Companies (Ln "&amp;A11&amp;" + Ln "&amp;A98&amp;") / 2"</f>
        <v>Average LT Advances from Assoc. Companies (Ln 3 + Ln 62) / 2</v>
      </c>
      <c r="C185" s="832" t="e">
        <f t="shared" si="55"/>
        <v>#DIV/0!</v>
      </c>
      <c r="D185" s="832"/>
      <c r="E185" s="832" t="e">
        <f t="shared" si="55"/>
        <v>#DIV/0!</v>
      </c>
      <c r="F185" s="832" t="e">
        <f t="shared" si="55"/>
        <v>#DIV/0!</v>
      </c>
      <c r="G185" s="832" t="e">
        <f t="shared" si="55"/>
        <v>#DIV/0!</v>
      </c>
      <c r="H185" s="832" t="e">
        <f t="shared" si="55"/>
        <v>#DIV/0!</v>
      </c>
      <c r="I185" s="832" t="e">
        <f t="shared" si="55"/>
        <v>#DIV/0!</v>
      </c>
      <c r="J185" s="832" t="e">
        <f>SUM(C185:I185)</f>
        <v>#DIV/0!</v>
      </c>
    </row>
    <row r="186" spans="1:10">
      <c r="A186" s="886">
        <f>A185+1</f>
        <v>122</v>
      </c>
      <c r="B186" s="850" t="str">
        <f>"Average Senior Unsecured Notes (Ln "&amp;A12&amp;" + Ln "&amp;A99&amp;") / 2"</f>
        <v>Average Senior Unsecured Notes (Ln 4 + Ln 63) / 2</v>
      </c>
      <c r="C186" s="832" t="e">
        <f t="shared" si="55"/>
        <v>#DIV/0!</v>
      </c>
      <c r="D186" s="832"/>
      <c r="E186" s="832" t="e">
        <f t="shared" si="55"/>
        <v>#DIV/0!</v>
      </c>
      <c r="F186" s="832" t="e">
        <f t="shared" si="55"/>
        <v>#DIV/0!</v>
      </c>
      <c r="G186" s="832" t="e">
        <f t="shared" si="55"/>
        <v>#DIV/0!</v>
      </c>
      <c r="H186" s="832" t="e">
        <f t="shared" si="55"/>
        <v>#DIV/0!</v>
      </c>
      <c r="I186" s="832" t="e">
        <f t="shared" si="55"/>
        <v>#DIV/0!</v>
      </c>
      <c r="J186" s="832" t="e">
        <f>SUM(C186:I186)</f>
        <v>#DIV/0!</v>
      </c>
    </row>
    <row r="187" spans="1:10">
      <c r="A187" s="886">
        <f>A186+1</f>
        <v>123</v>
      </c>
      <c r="B187" s="850" t="str">
        <f>"Less: Average Fair Value Hedges (See Note on Ln "&amp;A190&amp;" below)"</f>
        <v>Less: Average Fair Value Hedges (See Note on Ln 125 below)</v>
      </c>
      <c r="C187" s="906" t="e">
        <f t="shared" si="55"/>
        <v>#DIV/0!</v>
      </c>
      <c r="D187" s="906"/>
      <c r="E187" s="906" t="e">
        <f t="shared" si="55"/>
        <v>#DIV/0!</v>
      </c>
      <c r="F187" s="906" t="e">
        <f t="shared" si="55"/>
        <v>#DIV/0!</v>
      </c>
      <c r="G187" s="906" t="e">
        <f t="shared" si="55"/>
        <v>#DIV/0!</v>
      </c>
      <c r="H187" s="906" t="e">
        <f t="shared" si="55"/>
        <v>#DIV/0!</v>
      </c>
      <c r="I187" s="906" t="e">
        <f t="shared" si="55"/>
        <v>#DIV/0!</v>
      </c>
      <c r="J187" s="888" t="e">
        <f>SUM(C187:I187)</f>
        <v>#DIV/0!</v>
      </c>
    </row>
    <row r="188" spans="1:10">
      <c r="A188" s="886">
        <f>A187+1</f>
        <v>124</v>
      </c>
      <c r="B188" s="851" t="s">
        <v>534</v>
      </c>
      <c r="C188" s="889" t="e">
        <f t="shared" ref="C188:J188" si="56">C183-C184+C185+C186-C187</f>
        <v>#DIV/0!</v>
      </c>
      <c r="D188" s="889"/>
      <c r="E188" s="889" t="e">
        <f t="shared" si="56"/>
        <v>#DIV/0!</v>
      </c>
      <c r="F188" s="889" t="e">
        <f t="shared" si="56"/>
        <v>#DIV/0!</v>
      </c>
      <c r="G188" s="889" t="e">
        <f t="shared" si="56"/>
        <v>#DIV/0!</v>
      </c>
      <c r="H188" s="889" t="e">
        <f t="shared" si="56"/>
        <v>#DIV/0!</v>
      </c>
      <c r="I188" s="889" t="e">
        <f t="shared" si="56"/>
        <v>#DIV/0!</v>
      </c>
      <c r="J188" s="889" t="e">
        <f t="shared" si="56"/>
        <v>#DIV/0!</v>
      </c>
    </row>
    <row r="190" spans="1:10" s="900" customFormat="1">
      <c r="A190" s="900">
        <f>A188+1</f>
        <v>125</v>
      </c>
      <c r="B190" s="1555" t="s">
        <v>57</v>
      </c>
      <c r="C190" s="1555"/>
      <c r="D190" s="1555"/>
      <c r="E190" s="1555"/>
      <c r="F190" s="1555"/>
      <c r="G190" s="1555"/>
      <c r="H190" s="1555"/>
      <c r="I190" s="1555"/>
      <c r="J190" s="1555"/>
    </row>
    <row r="191" spans="1:10" s="900" customFormat="1">
      <c r="A191" s="907"/>
      <c r="B191" s="890"/>
      <c r="C191" s="890"/>
      <c r="D191" s="890"/>
      <c r="E191" s="890"/>
      <c r="F191" s="890"/>
      <c r="G191" s="890"/>
      <c r="H191" s="890"/>
      <c r="I191" s="890"/>
      <c r="J191" s="890"/>
    </row>
    <row r="192" spans="1:10" ht="15">
      <c r="A192" s="845" t="str">
        <f>"Development of "&amp;TCOS!O3&amp;" Long Term Debt Interest Expense"</f>
        <v>Development of   Long Term Debt Interest Expense</v>
      </c>
      <c r="B192" s="900"/>
      <c r="C192" s="900"/>
      <c r="D192" s="900"/>
      <c r="E192" s="900"/>
      <c r="F192" s="900"/>
      <c r="G192" s="900"/>
      <c r="H192" s="900"/>
      <c r="I192" s="900"/>
      <c r="J192" s="900"/>
    </row>
    <row r="193" spans="1:10">
      <c r="A193" s="900">
        <f>A190+1</f>
        <v>126</v>
      </c>
      <c r="B193" s="850" t="str">
        <f t="shared" ref="B193:I193" si="57">B19</f>
        <v>Interest on Long Term Debt (256-257.33.i)</v>
      </c>
      <c r="C193" s="488">
        <f t="shared" si="57"/>
        <v>0</v>
      </c>
      <c r="D193" s="488"/>
      <c r="E193" s="488">
        <f t="shared" si="57"/>
        <v>0</v>
      </c>
      <c r="F193" s="488">
        <f t="shared" si="57"/>
        <v>0</v>
      </c>
      <c r="G193" s="488">
        <f t="shared" si="57"/>
        <v>0</v>
      </c>
      <c r="H193" s="488">
        <f t="shared" si="57"/>
        <v>0</v>
      </c>
      <c r="I193" s="488">
        <f t="shared" si="57"/>
        <v>0</v>
      </c>
      <c r="J193" s="488">
        <f t="shared" ref="J193:J198" si="58">SUM(C193:I193)</f>
        <v>0</v>
      </c>
    </row>
    <row r="194" spans="1:10">
      <c r="A194" s="900">
        <f t="shared" ref="A194:A199" si="59">A193+1</f>
        <v>127</v>
      </c>
      <c r="B194" s="850" t="str">
        <f t="shared" ref="B194:C198" si="60">B20</f>
        <v>Amort of Debt Discount &amp; Expense (117.63.c)</v>
      </c>
      <c r="C194" s="488">
        <f>C20</f>
        <v>0</v>
      </c>
      <c r="D194" s="488"/>
      <c r="E194" s="488">
        <f t="shared" ref="E194:I195" si="61">E20</f>
        <v>0</v>
      </c>
      <c r="F194" s="488">
        <f t="shared" si="61"/>
        <v>0</v>
      </c>
      <c r="G194" s="488">
        <f t="shared" si="61"/>
        <v>0</v>
      </c>
      <c r="H194" s="488">
        <f t="shared" si="61"/>
        <v>0</v>
      </c>
      <c r="I194" s="488">
        <f t="shared" si="61"/>
        <v>0</v>
      </c>
      <c r="J194" s="488">
        <f t="shared" si="58"/>
        <v>0</v>
      </c>
    </row>
    <row r="195" spans="1:10">
      <c r="A195" s="900">
        <f t="shared" si="59"/>
        <v>128</v>
      </c>
      <c r="B195" s="850" t="str">
        <f t="shared" si="60"/>
        <v>Amort of Loss on Reacquired Debt (117.64.c)</v>
      </c>
      <c r="C195" s="488">
        <f t="shared" si="60"/>
        <v>0</v>
      </c>
      <c r="D195" s="488"/>
      <c r="E195" s="488">
        <f t="shared" si="61"/>
        <v>0</v>
      </c>
      <c r="F195" s="488">
        <f t="shared" si="61"/>
        <v>0</v>
      </c>
      <c r="G195" s="488">
        <f t="shared" si="61"/>
        <v>0</v>
      </c>
      <c r="H195" s="488">
        <f t="shared" si="61"/>
        <v>0</v>
      </c>
      <c r="I195" s="488">
        <f t="shared" si="61"/>
        <v>0</v>
      </c>
      <c r="J195" s="488">
        <f t="shared" si="58"/>
        <v>0</v>
      </c>
    </row>
    <row r="196" spans="1:10">
      <c r="A196" s="900">
        <f t="shared" si="59"/>
        <v>129</v>
      </c>
      <c r="B196" s="850" t="str">
        <f>B22</f>
        <v>Less: Amort of Premium on Debt (117.65.c)</v>
      </c>
      <c r="C196" s="488">
        <f t="shared" ref="C196:I196" si="62">C22</f>
        <v>0</v>
      </c>
      <c r="D196" s="488"/>
      <c r="E196" s="488">
        <f t="shared" si="62"/>
        <v>0</v>
      </c>
      <c r="F196" s="488">
        <f t="shared" si="62"/>
        <v>0</v>
      </c>
      <c r="G196" s="488">
        <f t="shared" si="62"/>
        <v>0</v>
      </c>
      <c r="H196" s="488">
        <f t="shared" si="62"/>
        <v>0</v>
      </c>
      <c r="I196" s="488">
        <f t="shared" si="62"/>
        <v>0</v>
      </c>
      <c r="J196" s="832">
        <f t="shared" si="58"/>
        <v>0</v>
      </c>
    </row>
    <row r="197" spans="1:10">
      <c r="A197" s="900">
        <f t="shared" si="59"/>
        <v>130</v>
      </c>
      <c r="B197" s="850" t="str">
        <f t="shared" si="60"/>
        <v>Less: Amort of Gain on Reacquired Debt (117.66.c)</v>
      </c>
      <c r="C197" s="488">
        <f>C23</f>
        <v>0</v>
      </c>
      <c r="D197" s="488"/>
      <c r="E197" s="488">
        <f t="shared" ref="E197:I198" si="63">E23</f>
        <v>0</v>
      </c>
      <c r="F197" s="488">
        <f t="shared" si="63"/>
        <v>0</v>
      </c>
      <c r="G197" s="488">
        <f t="shared" si="63"/>
        <v>0</v>
      </c>
      <c r="H197" s="488">
        <f t="shared" si="63"/>
        <v>0</v>
      </c>
      <c r="I197" s="488">
        <f t="shared" si="63"/>
        <v>0</v>
      </c>
      <c r="J197" s="832">
        <f t="shared" si="58"/>
        <v>0</v>
      </c>
    </row>
    <row r="198" spans="1:10">
      <c r="A198" s="900">
        <f t="shared" si="59"/>
        <v>131</v>
      </c>
      <c r="B198" s="908" t="str">
        <f t="shared" si="60"/>
        <v>Less: Hedge Interest on pp 256-257(i)</v>
      </c>
      <c r="C198" s="906">
        <f>C24</f>
        <v>0</v>
      </c>
      <c r="D198" s="906"/>
      <c r="E198" s="906">
        <f t="shared" si="63"/>
        <v>0</v>
      </c>
      <c r="F198" s="906">
        <f t="shared" si="63"/>
        <v>0</v>
      </c>
      <c r="G198" s="906">
        <f t="shared" si="63"/>
        <v>0</v>
      </c>
      <c r="H198" s="906">
        <f t="shared" si="63"/>
        <v>0</v>
      </c>
      <c r="I198" s="906">
        <f t="shared" si="63"/>
        <v>0</v>
      </c>
      <c r="J198" s="888">
        <f t="shared" si="58"/>
        <v>0</v>
      </c>
    </row>
    <row r="199" spans="1:10">
      <c r="A199" s="900">
        <f t="shared" si="59"/>
        <v>132</v>
      </c>
      <c r="B199" s="909" t="str">
        <f>""&amp;TCOS!O3&amp;" LTD Interest Expense"</f>
        <v xml:space="preserve">  LTD Interest Expense</v>
      </c>
      <c r="C199" s="910">
        <f t="shared" ref="C199:J199" si="64">C193+C194+C195-C196-C197-C198</f>
        <v>0</v>
      </c>
      <c r="D199" s="910"/>
      <c r="E199" s="910">
        <f t="shared" si="64"/>
        <v>0</v>
      </c>
      <c r="F199" s="910">
        <f t="shared" si="64"/>
        <v>0</v>
      </c>
      <c r="G199" s="910">
        <f t="shared" si="64"/>
        <v>0</v>
      </c>
      <c r="H199" s="910">
        <f t="shared" si="64"/>
        <v>0</v>
      </c>
      <c r="I199" s="910">
        <f t="shared" si="64"/>
        <v>0</v>
      </c>
      <c r="J199" s="910">
        <f t="shared" si="64"/>
        <v>0</v>
      </c>
    </row>
    <row r="200" spans="1:10">
      <c r="A200" s="900"/>
      <c r="B200" s="900"/>
      <c r="C200" s="900"/>
      <c r="D200" s="900"/>
      <c r="E200" s="900"/>
      <c r="F200" s="900"/>
      <c r="G200" s="900"/>
      <c r="H200" s="900"/>
      <c r="I200" s="900"/>
      <c r="J200" s="900"/>
    </row>
    <row r="201" spans="1:10" ht="15">
      <c r="A201" s="845" t="str">
        <f>""&amp;TCOS!O3&amp;" Cost of Preferred Stock and Preferred Dividends"</f>
        <v xml:space="preserve">  Cost of Preferred Stock and Preferred Dividends</v>
      </c>
      <c r="B201" s="911"/>
      <c r="C201" s="911"/>
      <c r="D201" s="911"/>
      <c r="E201" s="911"/>
      <c r="F201" s="900"/>
      <c r="G201" s="900"/>
      <c r="H201" s="900"/>
      <c r="I201" s="900"/>
      <c r="J201" s="900"/>
    </row>
    <row r="202" spans="1:10">
      <c r="A202" s="900">
        <f>A199+1</f>
        <v>133</v>
      </c>
      <c r="B202" s="467" t="str">
        <f>"Average Balance of Preferred Stock (Ln "&amp;A52&amp;" + Ln "&amp;A139&amp;") / 2"</f>
        <v>Average Balance of Preferred Stock (Ln 35 + Ln 94) / 2</v>
      </c>
      <c r="C202" s="910">
        <f>AVERAGE(C52,C139)</f>
        <v>0</v>
      </c>
      <c r="D202" s="910"/>
      <c r="E202" s="910">
        <f t="shared" ref="E202:J202" si="65">AVERAGE(E52,E139)</f>
        <v>0</v>
      </c>
      <c r="F202" s="910">
        <f t="shared" si="65"/>
        <v>0</v>
      </c>
      <c r="G202" s="910">
        <f t="shared" si="65"/>
        <v>0</v>
      </c>
      <c r="H202" s="910">
        <f t="shared" si="65"/>
        <v>0</v>
      </c>
      <c r="I202" s="910">
        <f t="shared" si="65"/>
        <v>0</v>
      </c>
      <c r="J202" s="910">
        <f t="shared" si="65"/>
        <v>0</v>
      </c>
    </row>
    <row r="203" spans="1:10">
      <c r="A203" s="900">
        <f>A202+1</f>
        <v>134</v>
      </c>
      <c r="B203" s="467" t="str">
        <f>""&amp;TCOS!O3&amp;" Preferred Dividends (Ln "&amp;A53&amp;")"</f>
        <v xml:space="preserve">  Preferred Dividends (Ln 36)</v>
      </c>
      <c r="C203" s="910">
        <f>C53</f>
        <v>0</v>
      </c>
      <c r="D203" s="910"/>
      <c r="E203" s="910">
        <f t="shared" ref="E203:J203" si="66">E53</f>
        <v>0</v>
      </c>
      <c r="F203" s="910">
        <f t="shared" si="66"/>
        <v>0</v>
      </c>
      <c r="G203" s="910">
        <f t="shared" si="66"/>
        <v>0</v>
      </c>
      <c r="H203" s="910">
        <f t="shared" si="66"/>
        <v>0</v>
      </c>
      <c r="I203" s="910">
        <f t="shared" si="66"/>
        <v>0</v>
      </c>
      <c r="J203" s="910">
        <f t="shared" si="66"/>
        <v>0</v>
      </c>
    </row>
    <row r="204" spans="1:10">
      <c r="B204" s="907"/>
    </row>
    <row r="205" spans="1:10" ht="15">
      <c r="A205" s="845" t="s">
        <v>535</v>
      </c>
    </row>
    <row r="206" spans="1:10">
      <c r="A206" s="886">
        <f>A203+1</f>
        <v>135</v>
      </c>
      <c r="B206" s="664" t="str">
        <f>"Average Proprietary Capital (Ln "&amp;A56&amp;" + Ln "&amp;A143&amp;") / 2"</f>
        <v>Average Proprietary Capital (Ln 37 + Ln 96) / 2</v>
      </c>
      <c r="C206" s="488" t="e">
        <f t="shared" ref="C206:I206" si="67">AVERAGE(C56,C143)</f>
        <v>#DIV/0!</v>
      </c>
      <c r="D206" s="488"/>
      <c r="E206" s="488" t="e">
        <f t="shared" si="67"/>
        <v>#DIV/0!</v>
      </c>
      <c r="F206" s="488" t="e">
        <f t="shared" si="67"/>
        <v>#DIV/0!</v>
      </c>
      <c r="G206" s="488" t="e">
        <f t="shared" si="67"/>
        <v>#DIV/0!</v>
      </c>
      <c r="H206" s="488" t="e">
        <f t="shared" si="67"/>
        <v>#DIV/0!</v>
      </c>
      <c r="I206" s="488" t="e">
        <f t="shared" si="67"/>
        <v>#DIV/0!</v>
      </c>
      <c r="J206" s="893" t="e">
        <f>SUM(C206:I206)</f>
        <v>#DIV/0!</v>
      </c>
    </row>
    <row r="207" spans="1:10">
      <c r="A207" s="886">
        <f>A206+1</f>
        <v>136</v>
      </c>
      <c r="B207" s="664" t="str">
        <f>"Less: Average Preferred Stock (Ln "&amp;A202&amp;" Above)"</f>
        <v>Less: Average Preferred Stock (Ln 133 Above)</v>
      </c>
      <c r="C207" s="488">
        <f t="shared" ref="C207:H207" si="68">C202</f>
        <v>0</v>
      </c>
      <c r="D207" s="488"/>
      <c r="E207" s="488">
        <f t="shared" si="68"/>
        <v>0</v>
      </c>
      <c r="F207" s="488">
        <f t="shared" si="68"/>
        <v>0</v>
      </c>
      <c r="G207" s="488">
        <f t="shared" si="68"/>
        <v>0</v>
      </c>
      <c r="H207" s="488">
        <f t="shared" si="68"/>
        <v>0</v>
      </c>
      <c r="I207" s="488">
        <f>I202</f>
        <v>0</v>
      </c>
      <c r="J207" s="893">
        <f>SUM(C207:I207)</f>
        <v>0</v>
      </c>
    </row>
    <row r="208" spans="1:10">
      <c r="A208" s="886">
        <f>A207+1</f>
        <v>137</v>
      </c>
      <c r="B208" s="664" t="str">
        <f>"Less: Average Account 216.1 (Ln "&amp;A58&amp;" + Ln "&amp;A145&amp;") / 2"</f>
        <v>Less: Average Account 216.1 (Ln 39 + Ln 98) / 2</v>
      </c>
      <c r="C208" s="488" t="e">
        <f t="shared" ref="C208:I209" si="69">AVERAGE(C58,C145)</f>
        <v>#DIV/0!</v>
      </c>
      <c r="D208" s="488"/>
      <c r="E208" s="488" t="e">
        <f t="shared" si="69"/>
        <v>#DIV/0!</v>
      </c>
      <c r="F208" s="488" t="e">
        <f t="shared" si="69"/>
        <v>#DIV/0!</v>
      </c>
      <c r="G208" s="488" t="e">
        <f t="shared" si="69"/>
        <v>#DIV/0!</v>
      </c>
      <c r="H208" s="488" t="e">
        <f t="shared" si="69"/>
        <v>#DIV/0!</v>
      </c>
      <c r="I208" s="488" t="e">
        <f t="shared" si="69"/>
        <v>#DIV/0!</v>
      </c>
      <c r="J208" s="893" t="e">
        <f>SUM(C208:I208)</f>
        <v>#DIV/0!</v>
      </c>
    </row>
    <row r="209" spans="1:12">
      <c r="A209" s="886">
        <f>A208+1</f>
        <v>138</v>
      </c>
      <c r="B209" s="664" t="str">
        <f>"Less: Average Account 219.1 (Ln "&amp;A59&amp;" + Ln "&amp;A146&amp;") / 2"</f>
        <v>Less: Average Account 219.1 (Ln 40 + Ln 99) / 2</v>
      </c>
      <c r="C209" s="906" t="e">
        <f t="shared" si="69"/>
        <v>#DIV/0!</v>
      </c>
      <c r="D209" s="906"/>
      <c r="E209" s="906" t="e">
        <f t="shared" si="69"/>
        <v>#DIV/0!</v>
      </c>
      <c r="F209" s="906" t="e">
        <f t="shared" si="69"/>
        <v>#DIV/0!</v>
      </c>
      <c r="G209" s="906" t="e">
        <f t="shared" si="69"/>
        <v>#DIV/0!</v>
      </c>
      <c r="H209" s="906" t="e">
        <f t="shared" si="69"/>
        <v>#DIV/0!</v>
      </c>
      <c r="I209" s="906" t="e">
        <f t="shared" si="69"/>
        <v>#DIV/0!</v>
      </c>
      <c r="J209" s="898" t="e">
        <f>SUM(C209:I209)</f>
        <v>#DIV/0!</v>
      </c>
    </row>
    <row r="210" spans="1:12">
      <c r="A210" s="886">
        <f>A209+1</f>
        <v>139</v>
      </c>
      <c r="B210" s="847" t="s">
        <v>331</v>
      </c>
      <c r="C210" s="832" t="e">
        <f t="shared" ref="C210:J210" si="70">C206-C207-C208-C209</f>
        <v>#DIV/0!</v>
      </c>
      <c r="D210" s="832"/>
      <c r="E210" s="832" t="e">
        <f t="shared" si="70"/>
        <v>#DIV/0!</v>
      </c>
      <c r="F210" s="832" t="e">
        <f t="shared" si="70"/>
        <v>#DIV/0!</v>
      </c>
      <c r="G210" s="832" t="e">
        <f t="shared" si="70"/>
        <v>#DIV/0!</v>
      </c>
      <c r="H210" s="832" t="e">
        <f t="shared" si="70"/>
        <v>#DIV/0!</v>
      </c>
      <c r="I210" s="832" t="e">
        <f t="shared" si="70"/>
        <v>#DIV/0!</v>
      </c>
      <c r="J210" s="832" t="e">
        <f t="shared" si="70"/>
        <v>#DIV/0!</v>
      </c>
    </row>
    <row r="212" spans="1:12" ht="15">
      <c r="A212" s="845" t="s">
        <v>527</v>
      </c>
    </row>
    <row r="213" spans="1:12">
      <c r="A213" s="886">
        <f>A210+1</f>
        <v>140</v>
      </c>
      <c r="B213" s="467" t="str">
        <f>"Average Balance of Long Term Debt (Ln "&amp;A188&amp;" Above)"</f>
        <v>Average Balance of Long Term Debt (Ln 124 Above)</v>
      </c>
      <c r="C213" s="893" t="e">
        <f t="shared" ref="C213:J213" si="71">C188</f>
        <v>#DIV/0!</v>
      </c>
      <c r="D213" s="893"/>
      <c r="E213" s="893" t="e">
        <f t="shared" si="71"/>
        <v>#DIV/0!</v>
      </c>
      <c r="F213" s="893" t="e">
        <f t="shared" si="71"/>
        <v>#DIV/0!</v>
      </c>
      <c r="G213" s="893" t="e">
        <f t="shared" si="71"/>
        <v>#DIV/0!</v>
      </c>
      <c r="H213" s="893" t="e">
        <f t="shared" si="71"/>
        <v>#DIV/0!</v>
      </c>
      <c r="I213" s="893" t="e">
        <f t="shared" si="71"/>
        <v>#DIV/0!</v>
      </c>
      <c r="J213" s="893" t="e">
        <f t="shared" si="71"/>
        <v>#DIV/0!</v>
      </c>
    </row>
    <row r="214" spans="1:12">
      <c r="A214" s="886">
        <f>A213+1</f>
        <v>141</v>
      </c>
      <c r="B214" s="467" t="str">
        <f>"Average Balance of Preferred Stock (Ln "&amp;A202&amp;" Above)"</f>
        <v>Average Balance of Preferred Stock (Ln 133 Above)</v>
      </c>
      <c r="C214" s="893">
        <f t="shared" ref="C214:J214" si="72">C202</f>
        <v>0</v>
      </c>
      <c r="D214" s="893"/>
      <c r="E214" s="893">
        <f t="shared" si="72"/>
        <v>0</v>
      </c>
      <c r="F214" s="893">
        <f t="shared" si="72"/>
        <v>0</v>
      </c>
      <c r="G214" s="893">
        <f t="shared" si="72"/>
        <v>0</v>
      </c>
      <c r="H214" s="893">
        <f t="shared" si="72"/>
        <v>0</v>
      </c>
      <c r="I214" s="893">
        <f t="shared" si="72"/>
        <v>0</v>
      </c>
      <c r="J214" s="893">
        <f t="shared" si="72"/>
        <v>0</v>
      </c>
    </row>
    <row r="215" spans="1:12">
      <c r="A215" s="886">
        <f>A214+1</f>
        <v>142</v>
      </c>
      <c r="B215" s="467" t="str">
        <f>"Average Balance of Common Equity (Ln "&amp;A210&amp;" Above)"</f>
        <v>Average Balance of Common Equity (Ln 139 Above)</v>
      </c>
      <c r="C215" s="898" t="e">
        <f t="shared" ref="C215:J215" si="73">C210</f>
        <v>#DIV/0!</v>
      </c>
      <c r="D215" s="898"/>
      <c r="E215" s="898" t="e">
        <f t="shared" si="73"/>
        <v>#DIV/0!</v>
      </c>
      <c r="F215" s="898" t="e">
        <f t="shared" si="73"/>
        <v>#DIV/0!</v>
      </c>
      <c r="G215" s="898" t="e">
        <f t="shared" si="73"/>
        <v>#DIV/0!</v>
      </c>
      <c r="H215" s="898" t="e">
        <f t="shared" si="73"/>
        <v>#DIV/0!</v>
      </c>
      <c r="I215" s="898" t="e">
        <f t="shared" si="73"/>
        <v>#DIV/0!</v>
      </c>
      <c r="J215" s="898" t="e">
        <f t="shared" si="73"/>
        <v>#DIV/0!</v>
      </c>
    </row>
    <row r="216" spans="1:12">
      <c r="A216" s="886">
        <f>A215+1</f>
        <v>143</v>
      </c>
      <c r="B216" s="886" t="s">
        <v>536</v>
      </c>
      <c r="C216" s="893" t="e">
        <f t="shared" ref="C216:J216" si="74">SUM(C213:C215)</f>
        <v>#DIV/0!</v>
      </c>
      <c r="D216" s="893"/>
      <c r="E216" s="893" t="e">
        <f t="shared" si="74"/>
        <v>#DIV/0!</v>
      </c>
      <c r="F216" s="893" t="e">
        <f t="shared" si="74"/>
        <v>#DIV/0!</v>
      </c>
      <c r="G216" s="893" t="e">
        <f t="shared" si="74"/>
        <v>#DIV/0!</v>
      </c>
      <c r="H216" s="893" t="e">
        <f t="shared" si="74"/>
        <v>#DIV/0!</v>
      </c>
      <c r="I216" s="893" t="e">
        <f t="shared" si="74"/>
        <v>#DIV/0!</v>
      </c>
      <c r="J216" s="893" t="e">
        <f t="shared" si="74"/>
        <v>#DIV/0!</v>
      </c>
      <c r="L216" s="912"/>
    </row>
    <row r="218" spans="1:12">
      <c r="A218" s="886">
        <f>A216+1</f>
        <v>144</v>
      </c>
      <c r="B218" s="467" t="str">
        <f>"Average Balance of LTD Capital Shares (Ln "&amp;A213&amp;" / Ln "&amp;A216&amp;")"</f>
        <v>Average Balance of LTD Capital Shares (Ln 140 / Ln 143)</v>
      </c>
      <c r="C218" s="899" t="e">
        <f t="shared" ref="C218:I218" si="75">C213/C216</f>
        <v>#DIV/0!</v>
      </c>
      <c r="D218" s="899"/>
      <c r="E218" s="899" t="e">
        <f t="shared" si="75"/>
        <v>#DIV/0!</v>
      </c>
      <c r="F218" s="899" t="e">
        <f t="shared" si="75"/>
        <v>#DIV/0!</v>
      </c>
      <c r="G218" s="899" t="e">
        <f t="shared" si="75"/>
        <v>#DIV/0!</v>
      </c>
      <c r="H218" s="899" t="e">
        <f t="shared" si="75"/>
        <v>#DIV/0!</v>
      </c>
      <c r="I218" s="899" t="e">
        <f t="shared" si="75"/>
        <v>#DIV/0!</v>
      </c>
      <c r="J218" s="899" t="e">
        <f>J213/J216</f>
        <v>#DIV/0!</v>
      </c>
    </row>
    <row r="219" spans="1:12">
      <c r="A219" s="886">
        <f>A218+1</f>
        <v>145</v>
      </c>
      <c r="B219" s="467" t="str">
        <f>"Average Balance of Preferred Stock Capital Shares (Ln "&amp;A214&amp;" / Ln "&amp;A216&amp;")"</f>
        <v>Average Balance of Preferred Stock Capital Shares (Ln 141 / Ln 143)</v>
      </c>
      <c r="C219" s="899" t="e">
        <f t="shared" ref="C219:I219" si="76">C214/C216</f>
        <v>#DIV/0!</v>
      </c>
      <c r="D219" s="899"/>
      <c r="E219" s="899" t="e">
        <f t="shared" si="76"/>
        <v>#DIV/0!</v>
      </c>
      <c r="F219" s="899" t="e">
        <f t="shared" si="76"/>
        <v>#DIV/0!</v>
      </c>
      <c r="G219" s="899" t="e">
        <f t="shared" si="76"/>
        <v>#DIV/0!</v>
      </c>
      <c r="H219" s="899" t="e">
        <f t="shared" si="76"/>
        <v>#DIV/0!</v>
      </c>
      <c r="I219" s="899" t="e">
        <f t="shared" si="76"/>
        <v>#DIV/0!</v>
      </c>
      <c r="J219" s="899" t="e">
        <f>J214/J216</f>
        <v>#DIV/0!</v>
      </c>
    </row>
    <row r="220" spans="1:12">
      <c r="A220" s="900">
        <f>A219+1</f>
        <v>146</v>
      </c>
      <c r="B220" s="467" t="str">
        <f>"Average Balance of Common Equity Capital Shares (Ln "&amp;A215&amp;" / Ln "&amp;A216&amp;")"</f>
        <v>Average Balance of Common Equity Capital Shares (Ln 142 / Ln 143)</v>
      </c>
      <c r="C220" s="901" t="e">
        <f t="shared" ref="C220:I220" si="77">C215/C216</f>
        <v>#DIV/0!</v>
      </c>
      <c r="D220" s="901"/>
      <c r="E220" s="901" t="e">
        <f t="shared" si="77"/>
        <v>#DIV/0!</v>
      </c>
      <c r="F220" s="901" t="e">
        <f t="shared" si="77"/>
        <v>#DIV/0!</v>
      </c>
      <c r="G220" s="901" t="e">
        <f t="shared" si="77"/>
        <v>#DIV/0!</v>
      </c>
      <c r="H220" s="901" t="e">
        <f t="shared" si="77"/>
        <v>#DIV/0!</v>
      </c>
      <c r="I220" s="901" t="e">
        <f t="shared" si="77"/>
        <v>#DIV/0!</v>
      </c>
      <c r="J220" s="901" t="e">
        <f>J215/J216</f>
        <v>#DIV/0!</v>
      </c>
    </row>
    <row r="221" spans="1:12">
      <c r="A221" s="900"/>
      <c r="B221" s="467"/>
      <c r="C221" s="901"/>
      <c r="D221" s="901"/>
      <c r="E221" s="901"/>
      <c r="F221" s="901"/>
      <c r="G221" s="901"/>
      <c r="H221" s="901"/>
      <c r="I221" s="901"/>
      <c r="J221" s="901"/>
    </row>
    <row r="222" spans="1:12">
      <c r="A222" s="900">
        <f>A220+1</f>
        <v>147</v>
      </c>
      <c r="B222" s="846" t="s">
        <v>558</v>
      </c>
      <c r="C222" s="901"/>
      <c r="D222" s="901"/>
      <c r="E222" s="901"/>
      <c r="F222" s="901"/>
      <c r="G222" s="901"/>
      <c r="H222" s="901"/>
      <c r="I222" s="901"/>
      <c r="J222" s="901"/>
    </row>
    <row r="223" spans="1:12">
      <c r="A223" s="900"/>
      <c r="B223" s="467"/>
      <c r="C223" s="901"/>
      <c r="D223" s="901"/>
      <c r="E223" s="901"/>
      <c r="F223" s="901"/>
      <c r="G223" s="901"/>
      <c r="H223" s="901"/>
      <c r="I223" s="901"/>
      <c r="J223" s="901"/>
    </row>
    <row r="224" spans="1:12">
      <c r="A224" s="900">
        <f>A222+1</f>
        <v>148</v>
      </c>
      <c r="B224" s="846" t="s">
        <v>558</v>
      </c>
      <c r="C224" s="901"/>
      <c r="D224" s="901"/>
      <c r="E224" s="901"/>
      <c r="F224" s="901"/>
      <c r="G224" s="901"/>
      <c r="H224" s="901"/>
      <c r="I224" s="901"/>
      <c r="J224" s="901"/>
    </row>
    <row r="225" spans="1:10">
      <c r="A225" s="900">
        <f>A224+1</f>
        <v>149</v>
      </c>
      <c r="B225" s="846" t="s">
        <v>558</v>
      </c>
      <c r="C225" s="901"/>
      <c r="D225" s="901"/>
      <c r="E225" s="901"/>
      <c r="F225" s="901"/>
      <c r="G225" s="901"/>
      <c r="H225" s="901"/>
      <c r="I225" s="901"/>
      <c r="J225" s="901"/>
    </row>
    <row r="226" spans="1:10">
      <c r="A226" s="900">
        <f>A225+1</f>
        <v>150</v>
      </c>
      <c r="B226" s="846" t="s">
        <v>558</v>
      </c>
      <c r="C226" s="901"/>
      <c r="D226" s="901"/>
      <c r="E226" s="901"/>
      <c r="F226" s="901"/>
      <c r="G226" s="901"/>
      <c r="H226" s="901"/>
      <c r="I226" s="901"/>
      <c r="J226" s="901"/>
    </row>
    <row r="227" spans="1:10">
      <c r="A227" s="900"/>
      <c r="B227" s="467"/>
      <c r="C227" s="901"/>
      <c r="D227" s="901"/>
      <c r="E227" s="901"/>
      <c r="F227" s="901"/>
      <c r="G227" s="901"/>
      <c r="H227" s="901"/>
      <c r="I227" s="901"/>
      <c r="J227" s="901"/>
    </row>
    <row r="228" spans="1:10" ht="15">
      <c r="A228" s="845" t="s">
        <v>529</v>
      </c>
      <c r="B228" s="900"/>
      <c r="C228" s="900"/>
      <c r="D228" s="900"/>
      <c r="E228" s="900"/>
      <c r="F228" s="900"/>
      <c r="G228" s="900"/>
      <c r="H228" s="900"/>
      <c r="I228" s="900"/>
      <c r="J228" s="900"/>
    </row>
    <row r="229" spans="1:10">
      <c r="A229" s="900">
        <f>A226+1</f>
        <v>151</v>
      </c>
      <c r="B229" s="467" t="str">
        <f>"LTD Capital Cost Rate (Ln "&amp;A199&amp;" / Ln "&amp;A188&amp;")"</f>
        <v>LTD Capital Cost Rate (Ln 132 / Ln 124)</v>
      </c>
      <c r="C229" s="901" t="e">
        <f t="shared" ref="C229:J229" si="78">C199/C188</f>
        <v>#DIV/0!</v>
      </c>
      <c r="D229" s="901"/>
      <c r="E229" s="901" t="e">
        <f t="shared" si="78"/>
        <v>#DIV/0!</v>
      </c>
      <c r="F229" s="901" t="e">
        <f t="shared" si="78"/>
        <v>#DIV/0!</v>
      </c>
      <c r="G229" s="901" t="e">
        <f t="shared" si="78"/>
        <v>#DIV/0!</v>
      </c>
      <c r="H229" s="901" t="e">
        <f t="shared" si="78"/>
        <v>#DIV/0!</v>
      </c>
      <c r="I229" s="901" t="e">
        <f t="shared" si="78"/>
        <v>#DIV/0!</v>
      </c>
      <c r="J229" s="901" t="e">
        <f t="shared" si="78"/>
        <v>#DIV/0!</v>
      </c>
    </row>
    <row r="230" spans="1:10">
      <c r="A230" s="900">
        <f>A229+1</f>
        <v>152</v>
      </c>
      <c r="B230" s="467" t="str">
        <f>"Preferred Stock Capital Cost Rate (Ln "&amp;A203&amp;" / Ln "&amp;A202&amp;")"</f>
        <v>Preferred Stock Capital Cost Rate (Ln 134 / Ln 133)</v>
      </c>
      <c r="C230" s="901">
        <f t="shared" ref="C230:J230" si="79">IF(C202=0,0,C203/C202)</f>
        <v>0</v>
      </c>
      <c r="D230" s="901"/>
      <c r="E230" s="901">
        <f t="shared" si="79"/>
        <v>0</v>
      </c>
      <c r="F230" s="901">
        <f t="shared" si="79"/>
        <v>0</v>
      </c>
      <c r="G230" s="901">
        <f t="shared" si="79"/>
        <v>0</v>
      </c>
      <c r="H230" s="901">
        <f t="shared" si="79"/>
        <v>0</v>
      </c>
      <c r="I230" s="901">
        <f t="shared" si="79"/>
        <v>0</v>
      </c>
      <c r="J230" s="901">
        <f t="shared" si="79"/>
        <v>0</v>
      </c>
    </row>
    <row r="231" spans="1:10">
      <c r="A231" s="900">
        <f>A230+1</f>
        <v>153</v>
      </c>
      <c r="B231" s="467" t="s">
        <v>530</v>
      </c>
      <c r="C231" s="901">
        <v>0.1149</v>
      </c>
      <c r="D231" s="901"/>
      <c r="E231" s="901">
        <v>0.1149</v>
      </c>
      <c r="F231" s="901">
        <v>0.1149</v>
      </c>
      <c r="G231" s="901">
        <v>0.1149</v>
      </c>
      <c r="H231" s="901">
        <v>0.1149</v>
      </c>
      <c r="I231" s="901">
        <v>0.1149</v>
      </c>
      <c r="J231" s="901">
        <v>0.1149</v>
      </c>
    </row>
    <row r="232" spans="1:10">
      <c r="A232" s="900"/>
      <c r="B232" s="900"/>
      <c r="C232" s="900"/>
      <c r="D232" s="900"/>
      <c r="E232" s="900"/>
      <c r="F232" s="900"/>
      <c r="G232" s="900"/>
      <c r="H232" s="900"/>
      <c r="I232" s="900"/>
      <c r="J232" s="900"/>
    </row>
    <row r="233" spans="1:10" ht="15">
      <c r="A233" s="845" t="s">
        <v>531</v>
      </c>
      <c r="B233" s="900"/>
      <c r="C233" s="900"/>
      <c r="D233" s="900"/>
      <c r="E233" s="900"/>
      <c r="F233" s="900"/>
      <c r="G233" s="900"/>
      <c r="H233" s="900"/>
      <c r="I233" s="900"/>
      <c r="J233" s="900"/>
    </row>
    <row r="234" spans="1:10">
      <c r="A234" s="900">
        <f>A231+1</f>
        <v>154</v>
      </c>
      <c r="B234" s="467" t="str">
        <f>"LTD Weighted Capital Cost Rate (Ln "&amp;A218&amp;" * Ln "&amp;A229&amp;")"</f>
        <v>LTD Weighted Capital Cost Rate (Ln 144 * Ln 151)</v>
      </c>
      <c r="C234" s="901" t="e">
        <f>C218*C229</f>
        <v>#DIV/0!</v>
      </c>
      <c r="D234" s="901"/>
      <c r="E234" s="901" t="e">
        <f t="shared" ref="E234:J234" si="80">E218*E229</f>
        <v>#DIV/0!</v>
      </c>
      <c r="F234" s="901" t="e">
        <f t="shared" si="80"/>
        <v>#DIV/0!</v>
      </c>
      <c r="G234" s="901" t="e">
        <f t="shared" si="80"/>
        <v>#DIV/0!</v>
      </c>
      <c r="H234" s="901" t="e">
        <f t="shared" si="80"/>
        <v>#DIV/0!</v>
      </c>
      <c r="I234" s="901" t="e">
        <f t="shared" si="80"/>
        <v>#DIV/0!</v>
      </c>
      <c r="J234" s="901" t="e">
        <f t="shared" si="80"/>
        <v>#DIV/0!</v>
      </c>
    </row>
    <row r="235" spans="1:10">
      <c r="A235" s="900">
        <f>A234+1</f>
        <v>155</v>
      </c>
      <c r="B235" s="467" t="str">
        <f>"Preferred Stock Capital Cost Rate (Ln "&amp;A219&amp;" * Ln "&amp;A230&amp;")"</f>
        <v>Preferred Stock Capital Cost Rate (Ln 145 * Ln 152)</v>
      </c>
      <c r="C235" s="901" t="e">
        <f>C219*C230</f>
        <v>#DIV/0!</v>
      </c>
      <c r="D235" s="901"/>
      <c r="E235" s="901" t="e">
        <f t="shared" ref="E235:J235" si="81">E219*E230</f>
        <v>#DIV/0!</v>
      </c>
      <c r="F235" s="901" t="e">
        <f t="shared" si="81"/>
        <v>#DIV/0!</v>
      </c>
      <c r="G235" s="901" t="e">
        <f t="shared" si="81"/>
        <v>#DIV/0!</v>
      </c>
      <c r="H235" s="901" t="e">
        <f t="shared" si="81"/>
        <v>#DIV/0!</v>
      </c>
      <c r="I235" s="901" t="e">
        <f t="shared" si="81"/>
        <v>#DIV/0!</v>
      </c>
      <c r="J235" s="901" t="e">
        <f t="shared" si="81"/>
        <v>#DIV/0!</v>
      </c>
    </row>
    <row r="236" spans="1:10">
      <c r="A236" s="900">
        <f>A235+1</f>
        <v>156</v>
      </c>
      <c r="B236" s="467" t="str">
        <f>"Common Equity Capital Cost Rate (Ln "&amp;A220&amp;" * Ln "&amp;A231&amp;")"</f>
        <v>Common Equity Capital Cost Rate (Ln 146 * Ln 153)</v>
      </c>
      <c r="C236" s="913" t="e">
        <f>C220*C231</f>
        <v>#DIV/0!</v>
      </c>
      <c r="D236" s="913"/>
      <c r="E236" s="913" t="e">
        <f t="shared" ref="E236:J236" si="82">E220*E231</f>
        <v>#DIV/0!</v>
      </c>
      <c r="F236" s="913" t="e">
        <f t="shared" si="82"/>
        <v>#DIV/0!</v>
      </c>
      <c r="G236" s="913" t="e">
        <f t="shared" si="82"/>
        <v>#DIV/0!</v>
      </c>
      <c r="H236" s="913" t="e">
        <f t="shared" si="82"/>
        <v>#DIV/0!</v>
      </c>
      <c r="I236" s="913" t="e">
        <f t="shared" si="82"/>
        <v>#DIV/0!</v>
      </c>
      <c r="J236" s="913" t="e">
        <f t="shared" si="82"/>
        <v>#DIV/0!</v>
      </c>
    </row>
    <row r="237" spans="1:10">
      <c r="A237" s="900">
        <f>A236+1</f>
        <v>157</v>
      </c>
      <c r="B237" s="909" t="s">
        <v>61</v>
      </c>
      <c r="C237" s="914" t="e">
        <f t="shared" ref="C237:J237" si="83">SUM(C234:C236)</f>
        <v>#DIV/0!</v>
      </c>
      <c r="D237" s="914"/>
      <c r="E237" s="914" t="e">
        <f t="shared" si="83"/>
        <v>#DIV/0!</v>
      </c>
      <c r="F237" s="914" t="e">
        <f t="shared" si="83"/>
        <v>#DIV/0!</v>
      </c>
      <c r="G237" s="914" t="e">
        <f t="shared" si="83"/>
        <v>#DIV/0!</v>
      </c>
      <c r="H237" s="914" t="e">
        <f t="shared" si="83"/>
        <v>#DIV/0!</v>
      </c>
      <c r="I237" s="914" t="e">
        <f t="shared" si="83"/>
        <v>#DIV/0!</v>
      </c>
      <c r="J237" s="914" t="e">
        <f t="shared" si="83"/>
        <v>#DIV/0!</v>
      </c>
    </row>
    <row r="238" spans="1:10">
      <c r="A238" s="900"/>
      <c r="B238" s="907"/>
      <c r="C238" s="900"/>
      <c r="D238" s="900"/>
      <c r="E238" s="900"/>
      <c r="F238" s="900"/>
      <c r="G238" s="900"/>
      <c r="H238" s="900"/>
      <c r="I238" s="900"/>
      <c r="J238" s="900"/>
    </row>
    <row r="239" spans="1:10">
      <c r="A239" s="900"/>
      <c r="B239" s="900"/>
      <c r="C239" s="900"/>
      <c r="D239" s="900"/>
      <c r="E239" s="900"/>
      <c r="F239" s="900"/>
      <c r="G239" s="900"/>
      <c r="H239" s="900"/>
      <c r="I239" s="900"/>
      <c r="J239" s="900"/>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topLeftCell="A23" zoomScale="60" zoomScaleNormal="100" workbookViewId="0">
      <selection activeCell="A4" sqref="D4"/>
    </sheetView>
  </sheetViews>
  <sheetFormatPr defaultColWidth="8.85546875" defaultRowHeight="12.75"/>
  <cols>
    <col min="1" max="1" width="8.85546875" style="173"/>
    <col min="2" max="2" width="26.14062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58" t="s">
        <v>610</v>
      </c>
      <c r="C1" s="1558"/>
      <c r="D1" s="1558"/>
      <c r="E1" s="1558"/>
      <c r="F1" s="1558"/>
      <c r="G1" s="1558"/>
      <c r="H1" s="1558"/>
      <c r="I1" s="1558"/>
      <c r="J1" s="1558"/>
      <c r="K1" s="1558"/>
      <c r="L1" s="1558"/>
    </row>
    <row r="2" spans="2:12" ht="15.75">
      <c r="B2" s="1559" t="s">
        <v>557</v>
      </c>
      <c r="C2" s="1559"/>
      <c r="D2" s="1559"/>
      <c r="E2" s="1559"/>
      <c r="F2" s="1559"/>
      <c r="G2" s="1559"/>
      <c r="H2" s="1559"/>
      <c r="I2" s="1559"/>
      <c r="J2" s="1559"/>
      <c r="K2" s="1559"/>
      <c r="L2" s="1559"/>
    </row>
    <row r="3" spans="2:12" ht="18">
      <c r="B3" s="1557" t="s">
        <v>587</v>
      </c>
      <c r="C3" s="1557"/>
      <c r="D3" s="1557"/>
      <c r="E3" s="1557"/>
      <c r="F3" s="1557"/>
      <c r="G3" s="1557"/>
      <c r="H3" s="1557"/>
      <c r="I3" s="1557"/>
      <c r="J3" s="1557"/>
      <c r="K3" s="1557"/>
      <c r="L3" s="1557"/>
    </row>
    <row r="4" spans="2:12" ht="15.75">
      <c r="B4" s="393"/>
      <c r="C4" s="393"/>
      <c r="D4" s="393"/>
      <c r="E4" s="1559"/>
      <c r="F4" s="1559"/>
      <c r="G4" s="1559"/>
      <c r="H4" s="1559"/>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0"/>
      <c r="C7" s="921"/>
      <c r="D7" s="921"/>
      <c r="E7" s="921"/>
      <c r="F7" s="921"/>
      <c r="G7" s="921"/>
      <c r="H7" s="921"/>
      <c r="I7" s="921"/>
      <c r="J7" s="921"/>
      <c r="K7" s="921"/>
      <c r="L7" s="921"/>
    </row>
    <row r="8" spans="2:12" ht="47.25">
      <c r="B8" s="922"/>
      <c r="C8" s="921"/>
      <c r="D8" s="921"/>
      <c r="E8" s="922"/>
      <c r="F8" s="921"/>
      <c r="G8" s="921"/>
      <c r="H8" s="393"/>
      <c r="I8" s="1305" t="s">
        <v>559</v>
      </c>
      <c r="J8" s="393"/>
      <c r="K8" s="393"/>
      <c r="L8" s="1306" t="s">
        <v>408</v>
      </c>
    </row>
    <row r="9" spans="2:12" ht="15.75">
      <c r="B9" s="923" t="s">
        <v>408</v>
      </c>
      <c r="C9" s="921"/>
      <c r="D9" s="921"/>
      <c r="E9" s="923"/>
      <c r="F9" s="921"/>
      <c r="G9" s="921"/>
      <c r="H9" s="393"/>
      <c r="I9" s="924"/>
      <c r="J9" s="393"/>
      <c r="K9" s="393"/>
      <c r="L9" s="1307"/>
    </row>
    <row r="10" spans="2:12" ht="24" thickBot="1">
      <c r="B10" s="919">
        <v>0</v>
      </c>
      <c r="C10" s="1308" t="str">
        <f>"-"</f>
        <v>-</v>
      </c>
      <c r="D10" s="925"/>
      <c r="E10" s="919">
        <v>0</v>
      </c>
      <c r="F10" s="926"/>
      <c r="G10" s="1309" t="str">
        <f>"="</f>
        <v>=</v>
      </c>
      <c r="H10" s="927"/>
      <c r="I10" s="928">
        <f>IF(B10=0,0,E10-B10)</f>
        <v>0</v>
      </c>
      <c r="J10" s="393"/>
      <c r="K10" s="393"/>
      <c r="L10" s="393"/>
    </row>
    <row r="11" spans="2:12" ht="15.75">
      <c r="B11" s="929"/>
      <c r="C11" s="930"/>
      <c r="D11" s="930"/>
      <c r="E11" s="929"/>
      <c r="F11" s="929"/>
      <c r="G11" s="930"/>
      <c r="H11" s="929"/>
      <c r="I11" s="393"/>
      <c r="J11" s="393"/>
      <c r="K11" s="393"/>
      <c r="L11" s="393"/>
    </row>
    <row r="12" spans="2:12" ht="16.5" thickBot="1">
      <c r="B12" s="931"/>
      <c r="C12" s="932"/>
      <c r="D12" s="932"/>
      <c r="E12" s="931"/>
      <c r="F12" s="931"/>
      <c r="G12" s="932"/>
      <c r="H12" s="931"/>
      <c r="I12" s="933"/>
      <c r="J12" s="933"/>
      <c r="K12" s="933"/>
      <c r="L12" s="933"/>
    </row>
    <row r="13" spans="2:12" ht="15.75">
      <c r="B13" s="934"/>
      <c r="C13" s="930"/>
      <c r="D13" s="930"/>
      <c r="E13" s="929"/>
      <c r="F13" s="929"/>
      <c r="G13" s="930"/>
      <c r="H13" s="929"/>
      <c r="I13" s="393"/>
      <c r="J13" s="393"/>
      <c r="K13" s="393"/>
      <c r="L13" s="393"/>
    </row>
    <row r="14" spans="2:12" ht="47.25">
      <c r="B14" s="935" t="s">
        <v>802</v>
      </c>
      <c r="C14" s="930"/>
      <c r="D14" s="930"/>
      <c r="E14" s="936" t="s">
        <v>560</v>
      </c>
      <c r="F14" s="929"/>
      <c r="G14" s="936" t="s">
        <v>561</v>
      </c>
      <c r="H14" s="937" t="s">
        <v>562</v>
      </c>
      <c r="I14" s="938" t="s">
        <v>563</v>
      </c>
      <c r="J14" s="936" t="s">
        <v>564</v>
      </c>
      <c r="K14" s="939"/>
      <c r="L14" s="936" t="s">
        <v>565</v>
      </c>
    </row>
    <row r="15" spans="2:12" ht="15.75">
      <c r="B15" s="935" t="s">
        <v>803</v>
      </c>
      <c r="C15" s="930"/>
      <c r="D15" s="930"/>
      <c r="E15" s="393"/>
      <c r="F15" s="940"/>
      <c r="G15" s="952"/>
      <c r="I15" s="393"/>
      <c r="J15" s="393"/>
      <c r="K15" s="393"/>
      <c r="L15" s="393"/>
    </row>
    <row r="16" spans="2:12" ht="15.75">
      <c r="B16" s="935"/>
      <c r="C16" s="930"/>
      <c r="D16" s="930"/>
      <c r="E16" s="393"/>
      <c r="F16" s="940"/>
      <c r="G16" s="940"/>
      <c r="H16" s="929"/>
      <c r="I16" s="393"/>
      <c r="J16" s="393"/>
      <c r="K16" s="393"/>
      <c r="L16" s="393"/>
    </row>
    <row r="17" spans="2:12" ht="15.75">
      <c r="B17" s="935"/>
      <c r="C17" s="930"/>
      <c r="D17" s="930"/>
      <c r="E17" s="393"/>
      <c r="F17" s="940"/>
      <c r="G17" s="940"/>
      <c r="H17" s="929"/>
      <c r="I17" s="393"/>
      <c r="J17" s="393"/>
      <c r="K17" s="393"/>
      <c r="L17" s="393"/>
    </row>
    <row r="18" spans="2:12" ht="15.75">
      <c r="B18" s="941" t="s">
        <v>408</v>
      </c>
      <c r="C18" s="930"/>
      <c r="D18" s="930"/>
      <c r="E18" s="930"/>
      <c r="F18" s="930"/>
      <c r="G18" s="930" t="s">
        <v>408</v>
      </c>
      <c r="H18" s="393"/>
      <c r="I18" s="393"/>
      <c r="J18" s="393"/>
      <c r="K18" s="393"/>
      <c r="L18" s="393"/>
    </row>
    <row r="19" spans="2:12" ht="15.75">
      <c r="B19" s="942"/>
      <c r="C19" s="930"/>
      <c r="D19" s="930"/>
      <c r="E19" s="930"/>
      <c r="F19" s="930"/>
      <c r="G19" s="393"/>
      <c r="H19" s="393"/>
      <c r="I19" s="937"/>
      <c r="J19" s="930"/>
      <c r="K19" s="930"/>
      <c r="L19" s="930"/>
    </row>
    <row r="20" spans="2:12" ht="15.75">
      <c r="B20" s="942" t="s">
        <v>566</v>
      </c>
      <c r="C20" s="930"/>
      <c r="D20" s="930"/>
      <c r="E20" s="930"/>
      <c r="F20" s="930"/>
      <c r="G20" s="393"/>
      <c r="H20" s="393"/>
      <c r="I20" s="937" t="s">
        <v>567</v>
      </c>
      <c r="J20" s="930"/>
      <c r="K20" s="930"/>
      <c r="L20" s="930"/>
    </row>
    <row r="21" spans="2:12" ht="15.75">
      <c r="B21" s="921" t="s">
        <v>568</v>
      </c>
      <c r="C21" s="1436" t="str">
        <f>"Year 2024"</f>
        <v>Year 2024</v>
      </c>
      <c r="D21" s="921"/>
      <c r="E21" s="943">
        <f>I10/12</f>
        <v>0</v>
      </c>
      <c r="F21" s="943"/>
      <c r="G21" s="944">
        <f>+G15</f>
        <v>0</v>
      </c>
      <c r="H21" s="1310">
        <v>12</v>
      </c>
      <c r="I21" s="943">
        <f>G21*E21*H21*-1</f>
        <v>0</v>
      </c>
      <c r="J21" s="943"/>
      <c r="K21" s="943"/>
      <c r="L21" s="943">
        <f>(-I21+E21)*-1</f>
        <v>0</v>
      </c>
    </row>
    <row r="22" spans="2:12" ht="15.75">
      <c r="B22" s="921" t="s">
        <v>569</v>
      </c>
      <c r="C22" s="1436" t="str">
        <f>C21</f>
        <v>Year 2024</v>
      </c>
      <c r="D22" s="921"/>
      <c r="E22" s="943">
        <f>+E21</f>
        <v>0</v>
      </c>
      <c r="F22" s="943"/>
      <c r="G22" s="944">
        <f>+G21</f>
        <v>0</v>
      </c>
      <c r="H22" s="1310">
        <f t="shared" ref="H22:H32" si="0">+H21-1</f>
        <v>11</v>
      </c>
      <c r="I22" s="943">
        <f t="shared" ref="I22:I32" si="1">G22*E22*H22*-1</f>
        <v>0</v>
      </c>
      <c r="J22" s="943"/>
      <c r="K22" s="943"/>
      <c r="L22" s="943">
        <f t="shared" ref="L22:L32" si="2">(-I22+E22)*-1</f>
        <v>0</v>
      </c>
    </row>
    <row r="23" spans="2:12" ht="15.75">
      <c r="B23" s="921" t="s">
        <v>570</v>
      </c>
      <c r="C23" s="1436" t="str">
        <f t="shared" ref="C23:C32" si="3">C22</f>
        <v>Year 2024</v>
      </c>
      <c r="D23" s="921"/>
      <c r="E23" s="943">
        <f t="shared" ref="E23:E32" si="4">+E22</f>
        <v>0</v>
      </c>
      <c r="F23" s="943"/>
      <c r="G23" s="944">
        <f t="shared" ref="G23:G32" si="5">+G22</f>
        <v>0</v>
      </c>
      <c r="H23" s="1310">
        <f t="shared" si="0"/>
        <v>10</v>
      </c>
      <c r="I23" s="943">
        <f t="shared" si="1"/>
        <v>0</v>
      </c>
      <c r="J23" s="943"/>
      <c r="K23" s="943"/>
      <c r="L23" s="943">
        <f t="shared" si="2"/>
        <v>0</v>
      </c>
    </row>
    <row r="24" spans="2:12" ht="15.75">
      <c r="B24" s="921" t="s">
        <v>571</v>
      </c>
      <c r="C24" s="1436" t="str">
        <f t="shared" si="3"/>
        <v>Year 2024</v>
      </c>
      <c r="D24" s="921"/>
      <c r="E24" s="943">
        <f t="shared" si="4"/>
        <v>0</v>
      </c>
      <c r="F24" s="943"/>
      <c r="G24" s="944">
        <f t="shared" si="5"/>
        <v>0</v>
      </c>
      <c r="H24" s="1310">
        <f t="shared" si="0"/>
        <v>9</v>
      </c>
      <c r="I24" s="943">
        <f t="shared" si="1"/>
        <v>0</v>
      </c>
      <c r="J24" s="943"/>
      <c r="K24" s="943"/>
      <c r="L24" s="943">
        <f t="shared" si="2"/>
        <v>0</v>
      </c>
    </row>
    <row r="25" spans="2:12" ht="15.75">
      <c r="B25" s="921" t="s">
        <v>572</v>
      </c>
      <c r="C25" s="1436" t="str">
        <f t="shared" si="3"/>
        <v>Year 2024</v>
      </c>
      <c r="D25" s="921"/>
      <c r="E25" s="943">
        <f t="shared" si="4"/>
        <v>0</v>
      </c>
      <c r="F25" s="943"/>
      <c r="G25" s="944">
        <f t="shared" si="5"/>
        <v>0</v>
      </c>
      <c r="H25" s="1310">
        <f t="shared" si="0"/>
        <v>8</v>
      </c>
      <c r="I25" s="943">
        <f t="shared" si="1"/>
        <v>0</v>
      </c>
      <c r="J25" s="943"/>
      <c r="K25" s="943"/>
      <c r="L25" s="943">
        <f t="shared" si="2"/>
        <v>0</v>
      </c>
    </row>
    <row r="26" spans="2:12" ht="15.75">
      <c r="B26" s="921" t="s">
        <v>573</v>
      </c>
      <c r="C26" s="1436" t="str">
        <f t="shared" si="3"/>
        <v>Year 2024</v>
      </c>
      <c r="D26" s="921"/>
      <c r="E26" s="943">
        <f t="shared" si="4"/>
        <v>0</v>
      </c>
      <c r="F26" s="943"/>
      <c r="G26" s="944">
        <f t="shared" si="5"/>
        <v>0</v>
      </c>
      <c r="H26" s="1310">
        <f t="shared" si="0"/>
        <v>7</v>
      </c>
      <c r="I26" s="943">
        <f t="shared" si="1"/>
        <v>0</v>
      </c>
      <c r="J26" s="943"/>
      <c r="K26" s="943"/>
      <c r="L26" s="943">
        <f t="shared" si="2"/>
        <v>0</v>
      </c>
    </row>
    <row r="27" spans="2:12" ht="15.75">
      <c r="B27" s="921" t="s">
        <v>574</v>
      </c>
      <c r="C27" s="1436" t="str">
        <f t="shared" si="3"/>
        <v>Year 2024</v>
      </c>
      <c r="D27" s="921"/>
      <c r="E27" s="943">
        <f t="shared" si="4"/>
        <v>0</v>
      </c>
      <c r="F27" s="943"/>
      <c r="G27" s="944">
        <f t="shared" si="5"/>
        <v>0</v>
      </c>
      <c r="H27" s="1310">
        <f t="shared" si="0"/>
        <v>6</v>
      </c>
      <c r="I27" s="943">
        <f t="shared" si="1"/>
        <v>0</v>
      </c>
      <c r="J27" s="943"/>
      <c r="K27" s="943"/>
      <c r="L27" s="943">
        <f t="shared" si="2"/>
        <v>0</v>
      </c>
    </row>
    <row r="28" spans="2:12" ht="15.75">
      <c r="B28" s="921" t="s">
        <v>575</v>
      </c>
      <c r="C28" s="1436" t="str">
        <f t="shared" si="3"/>
        <v>Year 2024</v>
      </c>
      <c r="D28" s="921"/>
      <c r="E28" s="943">
        <f t="shared" si="4"/>
        <v>0</v>
      </c>
      <c r="F28" s="943"/>
      <c r="G28" s="944">
        <f t="shared" si="5"/>
        <v>0</v>
      </c>
      <c r="H28" s="1310">
        <f t="shared" si="0"/>
        <v>5</v>
      </c>
      <c r="I28" s="943">
        <f t="shared" si="1"/>
        <v>0</v>
      </c>
      <c r="J28" s="943"/>
      <c r="K28" s="943"/>
      <c r="L28" s="943">
        <f t="shared" si="2"/>
        <v>0</v>
      </c>
    </row>
    <row r="29" spans="2:12" ht="15.75">
      <c r="B29" s="921" t="s">
        <v>576</v>
      </c>
      <c r="C29" s="1436" t="str">
        <f t="shared" si="3"/>
        <v>Year 2024</v>
      </c>
      <c r="D29" s="921"/>
      <c r="E29" s="943">
        <f t="shared" si="4"/>
        <v>0</v>
      </c>
      <c r="F29" s="943"/>
      <c r="G29" s="944">
        <f t="shared" si="5"/>
        <v>0</v>
      </c>
      <c r="H29" s="1310">
        <f t="shared" si="0"/>
        <v>4</v>
      </c>
      <c r="I29" s="943">
        <f t="shared" si="1"/>
        <v>0</v>
      </c>
      <c r="J29" s="943"/>
      <c r="K29" s="943"/>
      <c r="L29" s="943">
        <f t="shared" si="2"/>
        <v>0</v>
      </c>
    </row>
    <row r="30" spans="2:12" ht="15.75">
      <c r="B30" s="921" t="s">
        <v>577</v>
      </c>
      <c r="C30" s="1436" t="str">
        <f t="shared" si="3"/>
        <v>Year 2024</v>
      </c>
      <c r="D30" s="921"/>
      <c r="E30" s="943">
        <f t="shared" si="4"/>
        <v>0</v>
      </c>
      <c r="F30" s="943"/>
      <c r="G30" s="944">
        <f t="shared" si="5"/>
        <v>0</v>
      </c>
      <c r="H30" s="1310">
        <f t="shared" si="0"/>
        <v>3</v>
      </c>
      <c r="I30" s="943">
        <f t="shared" si="1"/>
        <v>0</v>
      </c>
      <c r="J30" s="943"/>
      <c r="K30" s="943"/>
      <c r="L30" s="943">
        <f t="shared" si="2"/>
        <v>0</v>
      </c>
    </row>
    <row r="31" spans="2:12" ht="15.75">
      <c r="B31" s="921" t="s">
        <v>578</v>
      </c>
      <c r="C31" s="1436" t="str">
        <f t="shared" si="3"/>
        <v>Year 2024</v>
      </c>
      <c r="D31" s="921"/>
      <c r="E31" s="943">
        <f t="shared" si="4"/>
        <v>0</v>
      </c>
      <c r="F31" s="943"/>
      <c r="G31" s="944">
        <f t="shared" si="5"/>
        <v>0</v>
      </c>
      <c r="H31" s="1310">
        <f t="shared" si="0"/>
        <v>2</v>
      </c>
      <c r="I31" s="943">
        <f t="shared" si="1"/>
        <v>0</v>
      </c>
      <c r="J31" s="943"/>
      <c r="K31" s="943"/>
      <c r="L31" s="943">
        <f t="shared" si="2"/>
        <v>0</v>
      </c>
    </row>
    <row r="32" spans="2:12" ht="15.75">
      <c r="B32" s="921" t="s">
        <v>579</v>
      </c>
      <c r="C32" s="1436" t="str">
        <f t="shared" si="3"/>
        <v>Year 2024</v>
      </c>
      <c r="D32" s="921"/>
      <c r="E32" s="943">
        <f t="shared" si="4"/>
        <v>0</v>
      </c>
      <c r="F32" s="943"/>
      <c r="G32" s="944">
        <f t="shared" si="5"/>
        <v>0</v>
      </c>
      <c r="H32" s="1310">
        <f t="shared" si="0"/>
        <v>1</v>
      </c>
      <c r="I32" s="945">
        <f t="shared" si="1"/>
        <v>0</v>
      </c>
      <c r="J32" s="943"/>
      <c r="K32" s="943"/>
      <c r="L32" s="943">
        <f t="shared" si="2"/>
        <v>0</v>
      </c>
    </row>
    <row r="33" spans="2:12" ht="15.75">
      <c r="B33" s="921"/>
      <c r="C33" s="1436"/>
      <c r="D33" s="921"/>
      <c r="E33" s="943"/>
      <c r="F33" s="943"/>
      <c r="G33" s="944"/>
      <c r="H33" s="921"/>
      <c r="I33" s="943">
        <f>SUM(I21:I32)</f>
        <v>0</v>
      </c>
      <c r="J33" s="943"/>
      <c r="K33" s="943"/>
      <c r="L33" s="946">
        <f>SUM(L21:L32)</f>
        <v>0</v>
      </c>
    </row>
    <row r="34" spans="2:12" ht="15.75">
      <c r="B34" s="921"/>
      <c r="C34" s="1436"/>
      <c r="D34" s="921"/>
      <c r="E34" s="943"/>
      <c r="F34" s="943"/>
      <c r="G34" s="944"/>
      <c r="H34" s="921"/>
      <c r="I34" s="943"/>
      <c r="J34" s="943" t="s">
        <v>408</v>
      </c>
      <c r="K34" s="943"/>
      <c r="L34" s="393"/>
    </row>
    <row r="35" spans="2:12" ht="15.75">
      <c r="B35" s="921"/>
      <c r="C35" s="1436"/>
      <c r="D35" s="921"/>
      <c r="E35" s="929"/>
      <c r="F35" s="929"/>
      <c r="G35" s="944"/>
      <c r="H35" s="921"/>
      <c r="I35" s="947" t="s">
        <v>580</v>
      </c>
      <c r="J35" s="943"/>
      <c r="K35" s="943"/>
      <c r="L35" s="943"/>
    </row>
    <row r="36" spans="2:12" ht="15.75">
      <c r="B36" s="921" t="s">
        <v>581</v>
      </c>
      <c r="C36" s="1436" t="str">
        <f>"Year 2025"</f>
        <v>Year 2025</v>
      </c>
      <c r="D36" s="921"/>
      <c r="E36" s="929">
        <f>L33</f>
        <v>0</v>
      </c>
      <c r="F36" s="929"/>
      <c r="G36" s="944">
        <f>+G32</f>
        <v>0</v>
      </c>
      <c r="H36" s="1310">
        <v>12</v>
      </c>
      <c r="I36" s="943">
        <f>+H36*G36*E36</f>
        <v>0</v>
      </c>
      <c r="J36" s="943"/>
      <c r="K36" s="943"/>
      <c r="L36" s="946">
        <f>+E36+I36</f>
        <v>0</v>
      </c>
    </row>
    <row r="37" spans="2:12" ht="15.75">
      <c r="B37" s="921"/>
      <c r="C37" s="1436"/>
      <c r="D37" s="921"/>
      <c r="E37" s="929"/>
      <c r="F37" s="929"/>
      <c r="G37" s="944"/>
      <c r="H37" s="921"/>
      <c r="I37" s="943"/>
      <c r="J37" s="943"/>
      <c r="K37" s="943"/>
      <c r="L37" s="943"/>
    </row>
    <row r="38" spans="2:12" ht="15.75">
      <c r="B38" s="948" t="s">
        <v>582</v>
      </c>
      <c r="C38" s="1436"/>
      <c r="D38" s="921"/>
      <c r="E38" s="943"/>
      <c r="F38" s="943"/>
      <c r="G38" s="944"/>
      <c r="H38" s="921"/>
      <c r="I38" s="947" t="s">
        <v>567</v>
      </c>
      <c r="J38" s="943"/>
      <c r="K38" s="943"/>
      <c r="L38" s="943"/>
    </row>
    <row r="39" spans="2:12" ht="15.75">
      <c r="B39" s="921" t="s">
        <v>568</v>
      </c>
      <c r="C39" s="1436" t="str">
        <f>"Year 2026"</f>
        <v>Year 2026</v>
      </c>
      <c r="D39" s="921"/>
      <c r="E39" s="929">
        <f>-L36</f>
        <v>0</v>
      </c>
      <c r="F39" s="929"/>
      <c r="G39" s="944">
        <f>+G32</f>
        <v>0</v>
      </c>
      <c r="H39" s="1310" t="s">
        <v>408</v>
      </c>
      <c r="I39" s="943">
        <f xml:space="preserve"> -G39*E39</f>
        <v>0</v>
      </c>
      <c r="J39" s="943">
        <f>PMT(G39,12,L$36)</f>
        <v>0</v>
      </c>
      <c r="K39" s="943"/>
      <c r="L39" s="943">
        <f>(+E39+E39*G39-J39)*-1</f>
        <v>0</v>
      </c>
    </row>
    <row r="40" spans="2:12" ht="15.75">
      <c r="B40" s="921" t="s">
        <v>569</v>
      </c>
      <c r="C40" s="1436" t="str">
        <f>+C39</f>
        <v>Year 2026</v>
      </c>
      <c r="D40" s="921"/>
      <c r="E40" s="929">
        <f>-L39</f>
        <v>0</v>
      </c>
      <c r="F40" s="929"/>
      <c r="G40" s="944">
        <f>+G39</f>
        <v>0</v>
      </c>
      <c r="H40" s="1310" t="s">
        <v>408</v>
      </c>
      <c r="I40" s="943">
        <f xml:space="preserve"> -G40*E40</f>
        <v>0</v>
      </c>
      <c r="J40" s="943">
        <f>J39</f>
        <v>0</v>
      </c>
      <c r="K40" s="943"/>
      <c r="L40" s="943">
        <f t="shared" ref="L40:L50" si="6">(+E40+E40*G40-J40)*-1</f>
        <v>0</v>
      </c>
    </row>
    <row r="41" spans="2:12" ht="15.75">
      <c r="B41" s="921" t="s">
        <v>570</v>
      </c>
      <c r="C41" s="1436" t="str">
        <f>+C40</f>
        <v>Year 2026</v>
      </c>
      <c r="D41" s="921"/>
      <c r="E41" s="929">
        <f t="shared" ref="E41:E50" si="7">-L40</f>
        <v>0</v>
      </c>
      <c r="F41" s="929"/>
      <c r="G41" s="944">
        <f t="shared" ref="G41:G50" si="8">+G40</f>
        <v>0</v>
      </c>
      <c r="H41" s="1310" t="s">
        <v>408</v>
      </c>
      <c r="I41" s="943">
        <f t="shared" ref="I41:I50" si="9" xml:space="preserve"> -G41*E41</f>
        <v>0</v>
      </c>
      <c r="J41" s="943">
        <f t="shared" ref="J41:J50" si="10">J40</f>
        <v>0</v>
      </c>
      <c r="K41" s="943"/>
      <c r="L41" s="943">
        <f t="shared" si="6"/>
        <v>0</v>
      </c>
    </row>
    <row r="42" spans="2:12" ht="15.75">
      <c r="B42" s="921" t="s">
        <v>571</v>
      </c>
      <c r="C42" s="1436" t="str">
        <f>+C41</f>
        <v>Year 2026</v>
      </c>
      <c r="D42" s="921"/>
      <c r="E42" s="929">
        <f t="shared" si="7"/>
        <v>0</v>
      </c>
      <c r="F42" s="929"/>
      <c r="G42" s="944">
        <f t="shared" si="8"/>
        <v>0</v>
      </c>
      <c r="H42" s="1310" t="s">
        <v>408</v>
      </c>
      <c r="I42" s="943">
        <f t="shared" si="9"/>
        <v>0</v>
      </c>
      <c r="J42" s="943">
        <f t="shared" si="10"/>
        <v>0</v>
      </c>
      <c r="K42" s="943"/>
      <c r="L42" s="943">
        <f t="shared" si="6"/>
        <v>0</v>
      </c>
    </row>
    <row r="43" spans="2:12" ht="15.75">
      <c r="B43" s="921" t="s">
        <v>572</v>
      </c>
      <c r="C43" s="1436" t="str">
        <f>+C42</f>
        <v>Year 2026</v>
      </c>
      <c r="D43" s="921"/>
      <c r="E43" s="929">
        <f t="shared" si="7"/>
        <v>0</v>
      </c>
      <c r="F43" s="929"/>
      <c r="G43" s="944">
        <f t="shared" si="8"/>
        <v>0</v>
      </c>
      <c r="H43" s="1310" t="s">
        <v>408</v>
      </c>
      <c r="I43" s="943">
        <f t="shared" si="9"/>
        <v>0</v>
      </c>
      <c r="J43" s="943">
        <f>J42</f>
        <v>0</v>
      </c>
      <c r="K43" s="943"/>
      <c r="L43" s="943">
        <f t="shared" si="6"/>
        <v>0</v>
      </c>
    </row>
    <row r="44" spans="2:12" ht="15.75">
      <c r="B44" s="921" t="s">
        <v>573</v>
      </c>
      <c r="C44" s="1436" t="str">
        <f>C43</f>
        <v>Year 2026</v>
      </c>
      <c r="D44" s="393"/>
      <c r="E44" s="929">
        <f t="shared" si="7"/>
        <v>0</v>
      </c>
      <c r="F44" s="929"/>
      <c r="G44" s="944">
        <f t="shared" si="8"/>
        <v>0</v>
      </c>
      <c r="H44" s="1310" t="s">
        <v>408</v>
      </c>
      <c r="I44" s="943">
        <f t="shared" si="9"/>
        <v>0</v>
      </c>
      <c r="J44" s="943">
        <f t="shared" si="10"/>
        <v>0</v>
      </c>
      <c r="K44" s="943"/>
      <c r="L44" s="943">
        <f t="shared" si="6"/>
        <v>0</v>
      </c>
    </row>
    <row r="45" spans="2:12" ht="15.75">
      <c r="B45" s="921" t="s">
        <v>574</v>
      </c>
      <c r="C45" s="1436" t="str">
        <f t="shared" ref="C45:C50" si="11">+C44</f>
        <v>Year 2026</v>
      </c>
      <c r="D45" s="921"/>
      <c r="E45" s="929">
        <f t="shared" si="7"/>
        <v>0</v>
      </c>
      <c r="F45" s="929"/>
      <c r="G45" s="944">
        <f t="shared" si="8"/>
        <v>0</v>
      </c>
      <c r="H45" s="1310" t="s">
        <v>408</v>
      </c>
      <c r="I45" s="943">
        <f t="shared" si="9"/>
        <v>0</v>
      </c>
      <c r="J45" s="943">
        <f t="shared" si="10"/>
        <v>0</v>
      </c>
      <c r="K45" s="943"/>
      <c r="L45" s="943">
        <f t="shared" si="6"/>
        <v>0</v>
      </c>
    </row>
    <row r="46" spans="2:12" ht="15.75">
      <c r="B46" s="921" t="s">
        <v>575</v>
      </c>
      <c r="C46" s="1436" t="str">
        <f t="shared" si="11"/>
        <v>Year 2026</v>
      </c>
      <c r="D46" s="921"/>
      <c r="E46" s="929">
        <f t="shared" si="7"/>
        <v>0</v>
      </c>
      <c r="F46" s="929"/>
      <c r="G46" s="944">
        <f t="shared" si="8"/>
        <v>0</v>
      </c>
      <c r="H46" s="1310" t="s">
        <v>408</v>
      </c>
      <c r="I46" s="943">
        <f t="shared" si="9"/>
        <v>0</v>
      </c>
      <c r="J46" s="943">
        <f t="shared" si="10"/>
        <v>0</v>
      </c>
      <c r="K46" s="943"/>
      <c r="L46" s="943">
        <f t="shared" si="6"/>
        <v>0</v>
      </c>
    </row>
    <row r="47" spans="2:12" ht="15.75">
      <c r="B47" s="921" t="s">
        <v>576</v>
      </c>
      <c r="C47" s="1436" t="str">
        <f t="shared" si="11"/>
        <v>Year 2026</v>
      </c>
      <c r="D47" s="921"/>
      <c r="E47" s="929">
        <f t="shared" si="7"/>
        <v>0</v>
      </c>
      <c r="F47" s="929"/>
      <c r="G47" s="944">
        <f t="shared" si="8"/>
        <v>0</v>
      </c>
      <c r="H47" s="1310" t="s">
        <v>408</v>
      </c>
      <c r="I47" s="943">
        <f t="shared" si="9"/>
        <v>0</v>
      </c>
      <c r="J47" s="943">
        <f>J46</f>
        <v>0</v>
      </c>
      <c r="K47" s="943"/>
      <c r="L47" s="943">
        <f t="shared" si="6"/>
        <v>0</v>
      </c>
    </row>
    <row r="48" spans="2:12" ht="15.75">
      <c r="B48" s="921" t="s">
        <v>577</v>
      </c>
      <c r="C48" s="1436" t="str">
        <f t="shared" si="11"/>
        <v>Year 2026</v>
      </c>
      <c r="D48" s="921"/>
      <c r="E48" s="929">
        <f t="shared" si="7"/>
        <v>0</v>
      </c>
      <c r="F48" s="929"/>
      <c r="G48" s="944">
        <f t="shared" si="8"/>
        <v>0</v>
      </c>
      <c r="H48" s="1310" t="s">
        <v>408</v>
      </c>
      <c r="I48" s="943">
        <f t="shared" si="9"/>
        <v>0</v>
      </c>
      <c r="J48" s="943">
        <f t="shared" si="10"/>
        <v>0</v>
      </c>
      <c r="K48" s="943"/>
      <c r="L48" s="943">
        <f t="shared" si="6"/>
        <v>0</v>
      </c>
    </row>
    <row r="49" spans="2:12" ht="15.75">
      <c r="B49" s="921" t="s">
        <v>578</v>
      </c>
      <c r="C49" s="1436" t="str">
        <f t="shared" si="11"/>
        <v>Year 2026</v>
      </c>
      <c r="D49" s="921"/>
      <c r="E49" s="929">
        <f t="shared" si="7"/>
        <v>0</v>
      </c>
      <c r="F49" s="929"/>
      <c r="G49" s="944">
        <f t="shared" si="8"/>
        <v>0</v>
      </c>
      <c r="H49" s="1310" t="s">
        <v>408</v>
      </c>
      <c r="I49" s="943">
        <f t="shared" si="9"/>
        <v>0</v>
      </c>
      <c r="J49" s="943">
        <f t="shared" si="10"/>
        <v>0</v>
      </c>
      <c r="K49" s="943"/>
      <c r="L49" s="943">
        <f t="shared" si="6"/>
        <v>0</v>
      </c>
    </row>
    <row r="50" spans="2:12" ht="15.75">
      <c r="B50" s="921" t="s">
        <v>579</v>
      </c>
      <c r="C50" s="1436" t="str">
        <f t="shared" si="11"/>
        <v>Year 2026</v>
      </c>
      <c r="D50" s="921"/>
      <c r="E50" s="929">
        <f t="shared" si="7"/>
        <v>0</v>
      </c>
      <c r="F50" s="929"/>
      <c r="G50" s="944">
        <f t="shared" si="8"/>
        <v>0</v>
      </c>
      <c r="H50" s="1310" t="s">
        <v>408</v>
      </c>
      <c r="I50" s="945">
        <f t="shared" si="9"/>
        <v>0</v>
      </c>
      <c r="J50" s="943">
        <f t="shared" si="10"/>
        <v>0</v>
      </c>
      <c r="K50" s="943"/>
      <c r="L50" s="943">
        <f t="shared" si="6"/>
        <v>0</v>
      </c>
    </row>
    <row r="51" spans="2:12" ht="15.75">
      <c r="B51" s="921"/>
      <c r="C51" s="921"/>
      <c r="D51" s="921"/>
      <c r="E51" s="929"/>
      <c r="F51" s="929"/>
      <c r="G51" s="944"/>
      <c r="H51" s="921"/>
      <c r="I51" s="943">
        <f>SUM(I39:I50)</f>
        <v>0</v>
      </c>
      <c r="J51" s="943"/>
      <c r="K51" s="943"/>
      <c r="L51" s="943"/>
    </row>
    <row r="52" spans="2:12" ht="15">
      <c r="B52" s="393"/>
      <c r="C52" s="393"/>
      <c r="D52" s="393"/>
      <c r="E52" s="393"/>
      <c r="F52" s="393"/>
      <c r="G52" s="393"/>
      <c r="H52" s="393"/>
      <c r="I52" s="393"/>
      <c r="J52" s="949"/>
      <c r="K52" s="393"/>
      <c r="L52" s="393"/>
    </row>
    <row r="53" spans="2:12" ht="15.75">
      <c r="B53" s="921" t="s">
        <v>583</v>
      </c>
      <c r="C53" s="393"/>
      <c r="D53" s="393"/>
      <c r="E53" s="393"/>
      <c r="F53" s="393"/>
      <c r="G53" s="393"/>
      <c r="H53" s="393"/>
      <c r="I53" s="393"/>
      <c r="J53" s="950">
        <f>(SUM(J39:J50)*-1)</f>
        <v>0</v>
      </c>
      <c r="K53" s="393"/>
      <c r="L53" s="393"/>
    </row>
    <row r="54" spans="2:12" ht="15.75">
      <c r="B54" s="921" t="s">
        <v>584</v>
      </c>
      <c r="C54" s="393"/>
      <c r="D54" s="393"/>
      <c r="E54" s="393"/>
      <c r="F54" s="393"/>
      <c r="G54" s="393"/>
      <c r="H54" s="393"/>
      <c r="I54" s="393"/>
      <c r="J54" s="951">
        <f>+I10</f>
        <v>0</v>
      </c>
      <c r="K54" s="393"/>
      <c r="L54" s="393"/>
    </row>
    <row r="55" spans="2:12" ht="15.75">
      <c r="B55" s="921" t="s">
        <v>585</v>
      </c>
      <c r="C55" s="393"/>
      <c r="D55" s="393"/>
      <c r="E55" s="393"/>
      <c r="F55" s="393"/>
      <c r="G55" s="393"/>
      <c r="H55" s="393"/>
      <c r="I55" s="393"/>
      <c r="J55" s="950">
        <f>(J53+J54)</f>
        <v>0</v>
      </c>
      <c r="K55" s="393"/>
      <c r="L55" s="393"/>
    </row>
    <row r="56" spans="2:12">
      <c r="B56" s="392"/>
      <c r="C56" s="392"/>
      <c r="D56" s="392"/>
      <c r="E56" s="392"/>
      <c r="F56" s="392"/>
      <c r="G56" s="392"/>
      <c r="H56" s="392"/>
      <c r="I56" s="392"/>
      <c r="J56" s="392"/>
      <c r="K56" s="392"/>
      <c r="L56" s="392"/>
    </row>
    <row r="57" spans="2:12" ht="72.599999999999994" customHeight="1">
      <c r="B57" s="1560" t="s">
        <v>586</v>
      </c>
      <c r="C57" s="1560"/>
      <c r="D57" s="1560"/>
      <c r="E57" s="1560"/>
      <c r="F57" s="1560"/>
      <c r="G57" s="1560"/>
      <c r="H57" s="1311"/>
      <c r="I57" s="1311"/>
      <c r="J57" s="1311"/>
      <c r="K57" s="1311"/>
      <c r="L57" s="1311"/>
    </row>
  </sheetData>
  <mergeCells count="5">
    <mergeCell ref="B3:L3"/>
    <mergeCell ref="B1:L1"/>
    <mergeCell ref="B2:L2"/>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Y6MjU6MT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785B58B-4A65-459B-B923-3F8569F4366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C20274A-66A5-4199-86F6-B26E3C1453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2025-05-27T10:53:41Z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8c8931b4-71f1-4274-a319-bab23b392aa6</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{8785B58B-4A65-459B-B923-3F8569F43664}</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