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userName="s349016" algorithmName="SHA-512" hashValue="27ZRnaQFzujuLy7SrT1eMxGYutEb0r4ukw7e4Kif/R+H0MFNWqzq9pPKKbSxnwIQ2y/evYwAphJ4zdLUIaH3Lg==" saltValue="HLXG2qElz9k0ASwM+ealZA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3 Annual Update\Filed Documents\"/>
    </mc:Choice>
  </mc:AlternateContent>
  <xr:revisionPtr revIDLastSave="0" documentId="13_ncr:10001_{1372D5D3-1B93-4EB4-849E-EF42A4BD4E5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Instructions!$A$1:$R$19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11" i="18"/>
  <c r="H21" i="18" l="1"/>
  <c r="H29" i="18"/>
  <c r="H53" i="18"/>
  <c r="H61" i="18"/>
  <c r="H37" i="18"/>
  <c r="H69" i="18"/>
  <c r="H45" i="18"/>
  <c r="H77" i="18"/>
  <c r="H93" i="18"/>
  <c r="H109" i="18"/>
  <c r="H141" i="18"/>
  <c r="H72" i="18"/>
  <c r="H112" i="18"/>
  <c r="H136" i="18"/>
  <c r="H144" i="18"/>
  <c r="H152" i="18"/>
  <c r="H160" i="18"/>
  <c r="H168" i="18"/>
  <c r="H176" i="18"/>
  <c r="H184" i="18"/>
  <c r="H200" i="18"/>
  <c r="H32" i="18"/>
  <c r="H48" i="18"/>
  <c r="H64" i="18"/>
  <c r="H80" i="18"/>
  <c r="H96" i="18"/>
  <c r="H128" i="18"/>
  <c r="H25" i="18"/>
  <c r="H33" i="18"/>
  <c r="H41" i="18"/>
  <c r="H49" i="18"/>
  <c r="H57" i="18"/>
  <c r="H65" i="18"/>
  <c r="H73" i="18"/>
  <c r="H81" i="18"/>
  <c r="H89" i="18"/>
  <c r="H97" i="18"/>
  <c r="H105" i="18"/>
  <c r="H113" i="18"/>
  <c r="H121" i="18"/>
  <c r="H129" i="18"/>
  <c r="H137" i="18"/>
  <c r="H145" i="18"/>
  <c r="H153" i="18"/>
  <c r="H161" i="18"/>
  <c r="H169" i="18"/>
  <c r="H177" i="18"/>
  <c r="H188" i="18"/>
  <c r="H204" i="18"/>
  <c r="H85" i="18"/>
  <c r="H101" i="18"/>
  <c r="H117" i="18"/>
  <c r="H125" i="18"/>
  <c r="H133" i="18"/>
  <c r="H149" i="18"/>
  <c r="H157" i="18"/>
  <c r="H165" i="18"/>
  <c r="H173" i="18"/>
  <c r="H181" i="18"/>
  <c r="H196" i="18"/>
  <c r="H24" i="18"/>
  <c r="H40" i="18"/>
  <c r="H56" i="18"/>
  <c r="H88" i="18"/>
  <c r="H104" i="18"/>
  <c r="H120" i="18"/>
  <c r="H20" i="18"/>
  <c r="H28" i="18"/>
  <c r="H36" i="18"/>
  <c r="H44" i="18"/>
  <c r="H52" i="18"/>
  <c r="H60" i="18"/>
  <c r="H68" i="18"/>
  <c r="H76" i="18"/>
  <c r="H84" i="18"/>
  <c r="H92" i="18"/>
  <c r="H100" i="18"/>
  <c r="H108" i="18"/>
  <c r="H116" i="18"/>
  <c r="H124" i="18"/>
  <c r="H132" i="18"/>
  <c r="H140" i="18"/>
  <c r="H148" i="18"/>
  <c r="H156" i="18"/>
  <c r="H164" i="18"/>
  <c r="H172" i="18"/>
  <c r="H180" i="18"/>
  <c r="H192" i="18"/>
  <c r="H208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185" i="18"/>
  <c r="H189" i="18"/>
  <c r="H193" i="18"/>
  <c r="H197" i="18"/>
  <c r="H201" i="18"/>
  <c r="H205" i="18"/>
  <c r="H209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E10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C72" i="18"/>
  <c r="D33" i="18"/>
  <c r="D45" i="18" s="1"/>
  <c r="D34" i="18"/>
  <c r="D58" i="18" s="1"/>
  <c r="C54" i="18"/>
  <c r="C66" i="18"/>
  <c r="C78" i="18" s="1"/>
  <c r="C63" i="18"/>
  <c r="C87" i="18" s="1"/>
  <c r="C99" i="18" s="1"/>
  <c r="C111" i="18" s="1"/>
  <c r="C123" i="18" s="1"/>
  <c r="C135" i="18" s="1"/>
  <c r="C147" i="18" s="1"/>
  <c r="C159" i="18" s="1"/>
  <c r="F10" i="29"/>
  <c r="K149" i="18"/>
  <c r="K103" i="18"/>
  <c r="K161" i="18"/>
  <c r="K175" i="18"/>
  <c r="K150" i="18"/>
  <c r="K174" i="18"/>
  <c r="K151" i="18"/>
  <c r="K75" i="18"/>
  <c r="K173" i="18"/>
  <c r="K40" i="18"/>
  <c r="K39" i="18"/>
  <c r="K64" i="18"/>
  <c r="K195" i="18"/>
  <c r="K162" i="18"/>
  <c r="K77" i="18"/>
  <c r="K79" i="18"/>
  <c r="K55" i="18"/>
  <c r="K199" i="18"/>
  <c r="K78" i="18"/>
  <c r="D31" i="29"/>
  <c r="H23" i="29"/>
  <c r="H36" i="29"/>
  <c r="E36" i="29"/>
  <c r="H25" i="29"/>
  <c r="D23" i="29"/>
  <c r="E21" i="29"/>
  <c r="H21" i="29"/>
  <c r="E32" i="29"/>
  <c r="D29" i="29"/>
  <c r="H37" i="29"/>
  <c r="D36" i="29"/>
  <c r="G35" i="29"/>
  <c r="D32" i="29"/>
  <c r="H28" i="29"/>
  <c r="D28" i="29"/>
  <c r="H35" i="29"/>
  <c r="G33" i="29"/>
  <c r="E31" i="29"/>
  <c r="D33" i="29"/>
  <c r="H30" i="29"/>
  <c r="G21" i="29"/>
  <c r="G36" i="29"/>
  <c r="E23" i="29"/>
  <c r="D24" i="29"/>
  <c r="G26" i="29"/>
  <c r="G28" i="29"/>
  <c r="E29" i="29"/>
  <c r="G24" i="29"/>
  <c r="E25" i="29"/>
  <c r="G23" i="29"/>
  <c r="E22" i="29"/>
  <c r="H32" i="29"/>
  <c r="D35" i="29"/>
  <c r="G37" i="29"/>
  <c r="D30" i="29"/>
  <c r="E27" i="29"/>
  <c r="H26" i="29"/>
  <c r="D37" i="29"/>
  <c r="H31" i="29"/>
  <c r="G27" i="29"/>
  <c r="H22" i="29"/>
  <c r="D25" i="29"/>
  <c r="E37" i="29"/>
  <c r="D21" i="29"/>
  <c r="E28" i="29"/>
  <c r="G29" i="29"/>
  <c r="E35" i="29"/>
  <c r="G32" i="29"/>
  <c r="D22" i="29"/>
  <c r="E26" i="29"/>
  <c r="H29" i="29"/>
  <c r="H33" i="29"/>
  <c r="G22" i="29"/>
  <c r="D26" i="29"/>
  <c r="G30" i="29"/>
  <c r="G31" i="29"/>
  <c r="D27" i="29"/>
  <c r="H24" i="29"/>
  <c r="G25" i="29"/>
  <c r="H27" i="29"/>
  <c r="E33" i="29"/>
  <c r="E30" i="29"/>
  <c r="E24" i="29"/>
  <c r="C44" i="18" l="1"/>
  <c r="C64" i="18"/>
  <c r="C76" i="18" s="1"/>
  <c r="D63" i="18"/>
  <c r="D87" i="18" s="1"/>
  <c r="D99" i="18" s="1"/>
  <c r="D111" i="18" s="1"/>
  <c r="D123" i="18" s="1"/>
  <c r="D135" i="18" s="1"/>
  <c r="D147" i="18" s="1"/>
  <c r="D159" i="18" s="1"/>
  <c r="D183" i="18" s="1"/>
  <c r="D195" i="18" s="1"/>
  <c r="D207" i="18" s="1"/>
  <c r="D66" i="18"/>
  <c r="D78" i="18" s="1"/>
  <c r="D57" i="18"/>
  <c r="E20" i="29"/>
  <c r="D20" i="29"/>
  <c r="C3" i="29"/>
  <c r="D79" i="18"/>
  <c r="D55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D53" i="18"/>
  <c r="C53" i="18"/>
  <c r="C88" i="18"/>
  <c r="C100" i="18" s="1"/>
  <c r="C112" i="18" s="1"/>
  <c r="C124" i="18" s="1"/>
  <c r="C136" i="18" s="1"/>
  <c r="C148" i="18" s="1"/>
  <c r="C160" i="18" s="1"/>
  <c r="C184" i="18" s="1"/>
  <c r="C196" i="18" s="1"/>
  <c r="C208" i="18" s="1"/>
  <c r="C75" i="18"/>
  <c r="D50" i="18"/>
  <c r="C61" i="18"/>
  <c r="D46" i="18"/>
  <c r="C57" i="18"/>
  <c r="C81" i="18" s="1"/>
  <c r="C93" i="18" s="1"/>
  <c r="C105" i="18" s="1"/>
  <c r="C117" i="18" s="1"/>
  <c r="C129" i="18" s="1"/>
  <c r="C141" i="18" s="1"/>
  <c r="C153" i="18" s="1"/>
  <c r="C165" i="18" s="1"/>
  <c r="C80" i="18"/>
  <c r="C92" i="18" s="1"/>
  <c r="C104" i="18" s="1"/>
  <c r="C116" i="18" s="1"/>
  <c r="C128" i="18" s="1"/>
  <c r="C140" i="18" s="1"/>
  <c r="C152" i="18" s="1"/>
  <c r="C164" i="18" s="1"/>
  <c r="C68" i="18"/>
  <c r="O13" i="18"/>
  <c r="K53" i="18"/>
  <c r="K184" i="18"/>
  <c r="K67" i="18"/>
  <c r="K66" i="18"/>
  <c r="K54" i="18"/>
  <c r="K76" i="18"/>
  <c r="K148" i="18"/>
  <c r="K30" i="18"/>
  <c r="K43" i="18"/>
  <c r="K159" i="18"/>
  <c r="K135" i="18"/>
  <c r="K198" i="18"/>
  <c r="K91" i="18"/>
  <c r="K41" i="18"/>
  <c r="K160" i="18"/>
  <c r="K87" i="18"/>
  <c r="K136" i="18"/>
  <c r="K209" i="18"/>
  <c r="K138" i="18"/>
  <c r="K211" i="18"/>
  <c r="K185" i="18"/>
  <c r="K124" i="18"/>
  <c r="K63" i="18"/>
  <c r="K137" i="18"/>
  <c r="K31" i="18"/>
  <c r="K171" i="18"/>
  <c r="K65" i="18"/>
  <c r="K147" i="18"/>
  <c r="K208" i="18"/>
  <c r="K29" i="18"/>
  <c r="K114" i="18"/>
  <c r="K89" i="18"/>
  <c r="K42" i="18"/>
  <c r="K102" i="18"/>
  <c r="K113" i="18"/>
  <c r="K123" i="18"/>
  <c r="K101" i="18"/>
  <c r="K207" i="18"/>
  <c r="K196" i="18"/>
  <c r="K51" i="18"/>
  <c r="K186" i="18"/>
  <c r="K111" i="18"/>
  <c r="K27" i="18"/>
  <c r="K183" i="18"/>
  <c r="K100" i="18"/>
  <c r="K210" i="18"/>
  <c r="K99" i="18"/>
  <c r="K52" i="18"/>
  <c r="K197" i="18"/>
  <c r="K126" i="18"/>
  <c r="K139" i="18"/>
  <c r="E13" i="29"/>
  <c r="K187" i="18"/>
  <c r="K28" i="18"/>
  <c r="K115" i="18"/>
  <c r="K127" i="18"/>
  <c r="K88" i="18"/>
  <c r="J34" i="29"/>
  <c r="J39" i="29" s="1"/>
  <c r="G212" i="18"/>
  <c r="K125" i="18"/>
  <c r="K90" i="18"/>
  <c r="C67" i="18"/>
  <c r="C79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68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D171" i="18"/>
  <c r="C180" i="18"/>
  <c r="C192" i="18" s="1"/>
  <c r="C204" i="18" s="1"/>
  <c r="C168" i="18"/>
  <c r="C172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9" i="18"/>
  <c r="D81" i="18"/>
  <c r="D93" i="18" s="1"/>
  <c r="D105" i="18" s="1"/>
  <c r="D117" i="18" s="1"/>
  <c r="D129" i="18" s="1"/>
  <c r="D141" i="18" s="1"/>
  <c r="D153" i="18" s="1"/>
  <c r="K163" i="18"/>
  <c r="K172" i="18"/>
  <c r="K112" i="18"/>
  <c r="D64" i="18"/>
  <c r="D52" i="18"/>
  <c r="D75" i="18" l="1"/>
  <c r="C174" i="18"/>
  <c r="D173" i="18"/>
  <c r="C177" i="18"/>
  <c r="C189" i="18" s="1"/>
  <c r="C201" i="18" s="1"/>
  <c r="D80" i="18"/>
  <c r="D92" i="18" s="1"/>
  <c r="D104" i="18" s="1"/>
  <c r="D116" i="18" s="1"/>
  <c r="D128" i="18" s="1"/>
  <c r="D140" i="18" s="1"/>
  <c r="D152" i="18" s="1"/>
  <c r="D164" i="18" s="1"/>
  <c r="C69" i="18"/>
  <c r="C91" i="18"/>
  <c r="C103" i="18" s="1"/>
  <c r="C115" i="18" s="1"/>
  <c r="C127" i="18" s="1"/>
  <c r="C139" i="18" s="1"/>
  <c r="C151" i="18" s="1"/>
  <c r="C163" i="18" s="1"/>
  <c r="C187" i="18" s="1"/>
  <c r="C199" i="18" s="1"/>
  <c r="C211" i="18" s="1"/>
  <c r="C176" i="18"/>
  <c r="C188" i="18" s="1"/>
  <c r="C200" i="18" s="1"/>
  <c r="D186" i="18"/>
  <c r="D198" i="18" s="1"/>
  <c r="D210" i="18" s="1"/>
  <c r="D182" i="18"/>
  <c r="D194" i="18" s="1"/>
  <c r="D206" i="18" s="1"/>
  <c r="C73" i="18"/>
  <c r="C85" i="18"/>
  <c r="C97" i="18" s="1"/>
  <c r="C109" i="18" s="1"/>
  <c r="C121" i="18" s="1"/>
  <c r="C133" i="18" s="1"/>
  <c r="C145" i="18" s="1"/>
  <c r="C157" i="18" s="1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76" i="18"/>
  <c r="D188" i="18" s="1"/>
  <c r="D200" i="18" s="1"/>
  <c r="I35" i="29"/>
  <c r="F38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C175" i="18" l="1"/>
  <c r="D168" i="18"/>
  <c r="C181" i="18"/>
  <c r="C193" i="18" s="1"/>
  <c r="C205" i="18" s="1"/>
  <c r="C169" i="18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K203" i="18" l="1"/>
  <c r="K191" i="18"/>
  <c r="K179" i="18"/>
  <c r="K167" i="18"/>
  <c r="K155" i="18"/>
  <c r="K143" i="18"/>
  <c r="K131" i="18"/>
  <c r="K119" i="18"/>
  <c r="K107" i="18"/>
  <c r="K95" i="18"/>
  <c r="K83" i="18"/>
  <c r="K71" i="18"/>
  <c r="K59" i="18"/>
  <c r="K47" i="18"/>
  <c r="K35" i="18"/>
  <c r="K26" i="18"/>
  <c r="K22" i="18"/>
  <c r="K106" i="18"/>
  <c r="K98" i="18"/>
  <c r="K94" i="18"/>
  <c r="K86" i="18"/>
  <c r="K82" i="18"/>
  <c r="K74" i="18"/>
  <c r="K206" i="18"/>
  <c r="K202" i="18"/>
  <c r="K194" i="18"/>
  <c r="K190" i="18"/>
  <c r="K182" i="18"/>
  <c r="K178" i="18"/>
  <c r="K170" i="18"/>
  <c r="K166" i="18"/>
  <c r="K158" i="18"/>
  <c r="K154" i="18"/>
  <c r="K146" i="18"/>
  <c r="K142" i="18"/>
  <c r="K134" i="18"/>
  <c r="K130" i="18"/>
  <c r="K122" i="18"/>
  <c r="K118" i="18"/>
  <c r="K110" i="18"/>
  <c r="K204" i="18"/>
  <c r="K188" i="18"/>
  <c r="K180" i="18"/>
  <c r="K164" i="18"/>
  <c r="K156" i="18"/>
  <c r="K140" i="18"/>
  <c r="K132" i="18"/>
  <c r="K116" i="18"/>
  <c r="K108" i="18"/>
  <c r="K92" i="18"/>
  <c r="K84" i="18"/>
  <c r="K70" i="18"/>
  <c r="K60" i="18"/>
  <c r="K49" i="18"/>
  <c r="K44" i="18"/>
  <c r="K38" i="18"/>
  <c r="K33" i="18"/>
  <c r="K23" i="18"/>
  <c r="K69" i="18"/>
  <c r="K58" i="18"/>
  <c r="K48" i="18"/>
  <c r="K37" i="18"/>
  <c r="K21" i="18"/>
  <c r="K201" i="18"/>
  <c r="K193" i="18"/>
  <c r="K177" i="18"/>
  <c r="K169" i="18"/>
  <c r="K153" i="18"/>
  <c r="K145" i="18"/>
  <c r="K129" i="18"/>
  <c r="K121" i="18"/>
  <c r="K105" i="18"/>
  <c r="K97" i="18"/>
  <c r="K81" i="18"/>
  <c r="K32" i="18"/>
  <c r="K200" i="18"/>
  <c r="K192" i="18"/>
  <c r="K176" i="18"/>
  <c r="K168" i="18"/>
  <c r="K152" i="18"/>
  <c r="K144" i="18"/>
  <c r="K128" i="18"/>
  <c r="K120" i="18"/>
  <c r="K104" i="18"/>
  <c r="K96" i="18"/>
  <c r="K80" i="18"/>
  <c r="K73" i="18"/>
  <c r="K68" i="18"/>
  <c r="K62" i="18"/>
  <c r="K57" i="18"/>
  <c r="K46" i="18"/>
  <c r="K36" i="18"/>
  <c r="K25" i="18"/>
  <c r="K20" i="18"/>
  <c r="K205" i="18"/>
  <c r="K189" i="18"/>
  <c r="K181" i="18"/>
  <c r="K165" i="18"/>
  <c r="K157" i="18"/>
  <c r="K141" i="18"/>
  <c r="K133" i="18"/>
  <c r="K117" i="18"/>
  <c r="K109" i="18"/>
  <c r="K93" i="18"/>
  <c r="K85" i="18"/>
  <c r="K72" i="18"/>
  <c r="K61" i="18"/>
  <c r="K56" i="18"/>
  <c r="K50" i="18"/>
  <c r="K45" i="18"/>
  <c r="K34" i="18"/>
  <c r="K24" i="18"/>
  <c r="K13" i="18" l="1"/>
  <c r="K14" i="18"/>
  <c r="K212" i="18"/>
  <c r="F12" i="29" l="1"/>
  <c r="I135" i="18" l="1"/>
  <c r="J135" i="18" s="1"/>
  <c r="L135" i="18" s="1"/>
  <c r="I21" i="18"/>
  <c r="J21" i="18" s="1"/>
  <c r="L21" i="18" s="1"/>
  <c r="I178" i="18"/>
  <c r="J178" i="18" s="1"/>
  <c r="L178" i="18" s="1"/>
  <c r="I200" i="18"/>
  <c r="J200" i="18" s="1"/>
  <c r="L200" i="18" s="1"/>
  <c r="I97" i="18"/>
  <c r="J97" i="18" s="1"/>
  <c r="L97" i="18" s="1"/>
  <c r="I147" i="18"/>
  <c r="J147" i="18" s="1"/>
  <c r="L147" i="18" s="1"/>
  <c r="I168" i="18"/>
  <c r="J168" i="18" s="1"/>
  <c r="L168" i="18" s="1"/>
  <c r="I71" i="18"/>
  <c r="J71" i="18" s="1"/>
  <c r="L71" i="18" s="1"/>
  <c r="I186" i="18"/>
  <c r="J186" i="18" s="1"/>
  <c r="L186" i="18" s="1"/>
  <c r="I176" i="18"/>
  <c r="J176" i="18" s="1"/>
  <c r="L176" i="18" s="1"/>
  <c r="I202" i="18"/>
  <c r="J202" i="18" s="1"/>
  <c r="L202" i="18" s="1"/>
  <c r="I190" i="18"/>
  <c r="J190" i="18" s="1"/>
  <c r="L190" i="18" s="1"/>
  <c r="I95" i="18"/>
  <c r="J95" i="18" s="1"/>
  <c r="L95" i="18" s="1"/>
  <c r="I99" i="18"/>
  <c r="J99" i="18" s="1"/>
  <c r="L99" i="18" s="1"/>
  <c r="I169" i="18"/>
  <c r="J169" i="18" s="1"/>
  <c r="L169" i="18" s="1"/>
  <c r="I210" i="18"/>
  <c r="J210" i="18" s="1"/>
  <c r="L210" i="18" s="1"/>
  <c r="I80" i="18"/>
  <c r="J80" i="18" s="1"/>
  <c r="L80" i="18" s="1"/>
  <c r="I191" i="18"/>
  <c r="J191" i="18" s="1"/>
  <c r="L191" i="18" s="1"/>
  <c r="I55" i="18"/>
  <c r="J55" i="18" s="1"/>
  <c r="L55" i="18" s="1"/>
  <c r="I180" i="18"/>
  <c r="J180" i="18" s="1"/>
  <c r="L180" i="18" s="1"/>
  <c r="F14" i="29"/>
  <c r="I90" i="18"/>
  <c r="J90" i="18" s="1"/>
  <c r="L90" i="18" s="1"/>
  <c r="I41" i="18"/>
  <c r="J41" i="18" s="1"/>
  <c r="L41" i="18" s="1"/>
  <c r="I137" i="18"/>
  <c r="J137" i="18" s="1"/>
  <c r="L137" i="18" s="1"/>
  <c r="I207" i="18"/>
  <c r="J207" i="18" s="1"/>
  <c r="L207" i="18" s="1"/>
  <c r="I86" i="18"/>
  <c r="J86" i="18" s="1"/>
  <c r="L86" i="18" s="1"/>
  <c r="I92" i="18"/>
  <c r="J92" i="18" s="1"/>
  <c r="L92" i="18" s="1"/>
  <c r="I29" i="18"/>
  <c r="J29" i="18" s="1"/>
  <c r="L29" i="18" s="1"/>
  <c r="I130" i="18"/>
  <c r="J130" i="18" s="1"/>
  <c r="L130" i="18" s="1"/>
  <c r="I104" i="18"/>
  <c r="J104" i="18" s="1"/>
  <c r="L104" i="18" s="1"/>
  <c r="I63" i="18"/>
  <c r="J63" i="18" s="1"/>
  <c r="L63" i="18" s="1"/>
  <c r="I183" i="18"/>
  <c r="J183" i="18" s="1"/>
  <c r="L183" i="18" s="1"/>
  <c r="I160" i="18"/>
  <c r="J160" i="18" s="1"/>
  <c r="L160" i="18" s="1"/>
  <c r="I201" i="18"/>
  <c r="J201" i="18" s="1"/>
  <c r="L201" i="18" s="1"/>
  <c r="I53" i="18"/>
  <c r="J53" i="18" s="1"/>
  <c r="L53" i="18" s="1"/>
  <c r="I208" i="18"/>
  <c r="J208" i="18" s="1"/>
  <c r="L208" i="18" s="1"/>
  <c r="I129" i="18"/>
  <c r="J129" i="18" s="1"/>
  <c r="L129" i="18" s="1"/>
  <c r="I177" i="18"/>
  <c r="J177" i="18" s="1"/>
  <c r="L177" i="18" s="1"/>
  <c r="I26" i="18"/>
  <c r="J26" i="18" s="1"/>
  <c r="L26" i="18" s="1"/>
  <c r="I22" i="18"/>
  <c r="J22" i="18" s="1"/>
  <c r="L22" i="18" s="1"/>
  <c r="I105" i="18"/>
  <c r="J105" i="18" s="1"/>
  <c r="L105" i="18" s="1"/>
  <c r="I37" i="18"/>
  <c r="J37" i="18" s="1"/>
  <c r="L37" i="18" s="1"/>
  <c r="I179" i="18"/>
  <c r="J179" i="18" s="1"/>
  <c r="L179" i="18" s="1"/>
  <c r="I136" i="18"/>
  <c r="J136" i="18" s="1"/>
  <c r="L136" i="18" s="1"/>
  <c r="I204" i="18"/>
  <c r="J204" i="18" s="1"/>
  <c r="L204" i="18" s="1"/>
  <c r="I52" i="18"/>
  <c r="J52" i="18" s="1"/>
  <c r="L52" i="18" s="1"/>
  <c r="I60" i="18"/>
  <c r="J60" i="18" s="1"/>
  <c r="L60" i="18" s="1"/>
  <c r="I153" i="18"/>
  <c r="J153" i="18" s="1"/>
  <c r="L153" i="18" s="1"/>
  <c r="I175" i="18"/>
  <c r="J175" i="18" s="1"/>
  <c r="L175" i="18" s="1"/>
  <c r="I157" i="18"/>
  <c r="J157" i="18" s="1"/>
  <c r="L157" i="18" s="1"/>
  <c r="I94" i="18"/>
  <c r="J94" i="18" s="1"/>
  <c r="L94" i="18" s="1"/>
  <c r="I30" i="18"/>
  <c r="J30" i="18" s="1"/>
  <c r="L30" i="18" s="1"/>
  <c r="I72" i="18"/>
  <c r="J72" i="18" s="1"/>
  <c r="L72" i="18" s="1"/>
  <c r="I70" i="18"/>
  <c r="J70" i="18" s="1"/>
  <c r="L70" i="18" s="1"/>
  <c r="I24" i="18"/>
  <c r="J24" i="18" s="1"/>
  <c r="L24" i="18" s="1"/>
  <c r="I138" i="18"/>
  <c r="J138" i="18" s="1"/>
  <c r="L138" i="18" s="1"/>
  <c r="I171" i="18"/>
  <c r="J171" i="18" s="1"/>
  <c r="L171" i="18" s="1"/>
  <c r="I111" i="18"/>
  <c r="J111" i="18" s="1"/>
  <c r="L111" i="18" s="1"/>
  <c r="I59" i="18"/>
  <c r="J59" i="18" s="1"/>
  <c r="L59" i="18" s="1"/>
  <c r="I39" i="18"/>
  <c r="J39" i="18" s="1"/>
  <c r="L39" i="18" s="1"/>
  <c r="I47" i="18"/>
  <c r="J47" i="18" s="1"/>
  <c r="L47" i="18" s="1"/>
  <c r="I98" i="18"/>
  <c r="J98" i="18" s="1"/>
  <c r="L98" i="18" s="1"/>
  <c r="I206" i="18"/>
  <c r="J206" i="18" s="1"/>
  <c r="L206" i="18" s="1"/>
  <c r="I198" i="18"/>
  <c r="J198" i="18" s="1"/>
  <c r="L198" i="18" s="1"/>
  <c r="I96" i="18"/>
  <c r="J96" i="18" s="1"/>
  <c r="L96" i="18" s="1"/>
  <c r="I165" i="18"/>
  <c r="J165" i="18" s="1"/>
  <c r="L165" i="18" s="1"/>
  <c r="I109" i="18"/>
  <c r="J109" i="18" s="1"/>
  <c r="L109" i="18" s="1"/>
  <c r="I166" i="18"/>
  <c r="J166" i="18" s="1"/>
  <c r="L166" i="18" s="1"/>
  <c r="I184" i="18"/>
  <c r="J184" i="18" s="1"/>
  <c r="L184" i="18" s="1"/>
  <c r="I134" i="18"/>
  <c r="J134" i="18" s="1"/>
  <c r="L134" i="18" s="1"/>
  <c r="I117" i="18"/>
  <c r="J117" i="18" s="1"/>
  <c r="L117" i="18" s="1"/>
  <c r="I118" i="18"/>
  <c r="J118" i="18" s="1"/>
  <c r="L118" i="18" s="1"/>
  <c r="I142" i="18"/>
  <c r="J142" i="18" s="1"/>
  <c r="L142" i="18" s="1"/>
  <c r="I66" i="18"/>
  <c r="J66" i="18" s="1"/>
  <c r="L66" i="18" s="1"/>
  <c r="I40" i="18"/>
  <c r="J40" i="18" s="1"/>
  <c r="L40" i="18" s="1"/>
  <c r="I61" i="18"/>
  <c r="J61" i="18" s="1"/>
  <c r="L61" i="18" s="1"/>
  <c r="I114" i="18"/>
  <c r="J114" i="18" s="1"/>
  <c r="L114" i="18" s="1"/>
  <c r="I32" i="18"/>
  <c r="J32" i="18" s="1"/>
  <c r="L32" i="18" s="1"/>
  <c r="I124" i="18"/>
  <c r="J124" i="18" s="1"/>
  <c r="L124" i="18" s="1"/>
  <c r="I209" i="18"/>
  <c r="J209" i="18" s="1"/>
  <c r="L209" i="18" s="1"/>
  <c r="I115" i="18"/>
  <c r="J115" i="18" s="1"/>
  <c r="L115" i="18" s="1"/>
  <c r="I57" i="18"/>
  <c r="J57" i="18" s="1"/>
  <c r="L57" i="18" s="1"/>
  <c r="I113" i="18"/>
  <c r="J113" i="18" s="1"/>
  <c r="L113" i="18" s="1"/>
  <c r="I31" i="18"/>
  <c r="J31" i="18" s="1"/>
  <c r="L31" i="18" s="1"/>
  <c r="I91" i="18"/>
  <c r="J91" i="18" s="1"/>
  <c r="L91" i="18" s="1"/>
  <c r="I199" i="18"/>
  <c r="J199" i="18" s="1"/>
  <c r="L199" i="18" s="1"/>
  <c r="I38" i="18"/>
  <c r="J38" i="18" s="1"/>
  <c r="L38" i="18" s="1"/>
  <c r="I158" i="18"/>
  <c r="J158" i="18" s="1"/>
  <c r="L158" i="18" s="1"/>
  <c r="I211" i="18"/>
  <c r="J211" i="18" s="1"/>
  <c r="L211" i="18" s="1"/>
  <c r="I45" i="18"/>
  <c r="J45" i="18" s="1"/>
  <c r="L45" i="18" s="1"/>
  <c r="I146" i="18"/>
  <c r="J146" i="18" s="1"/>
  <c r="L146" i="18" s="1"/>
  <c r="I145" i="18"/>
  <c r="J145" i="18" s="1"/>
  <c r="L145" i="18" s="1"/>
  <c r="I44" i="18"/>
  <c r="J44" i="18" s="1"/>
  <c r="L44" i="18" s="1"/>
  <c r="I131" i="18"/>
  <c r="J131" i="18" s="1"/>
  <c r="L131" i="18" s="1"/>
  <c r="I189" i="18"/>
  <c r="J189" i="18" s="1"/>
  <c r="L189" i="18" s="1"/>
  <c r="I185" i="18"/>
  <c r="J185" i="18" s="1"/>
  <c r="L185" i="18" s="1"/>
  <c r="I174" i="18"/>
  <c r="J174" i="18" s="1"/>
  <c r="L174" i="18" s="1"/>
  <c r="I123" i="18"/>
  <c r="J123" i="18" s="1"/>
  <c r="L123" i="18" s="1"/>
  <c r="I154" i="18"/>
  <c r="J154" i="18" s="1"/>
  <c r="L154" i="18" s="1"/>
  <c r="I149" i="18"/>
  <c r="J149" i="18" s="1"/>
  <c r="L149" i="18" s="1"/>
  <c r="I28" i="18"/>
  <c r="J28" i="18" s="1"/>
  <c r="L28" i="18" s="1"/>
  <c r="I173" i="18"/>
  <c r="J173" i="18" s="1"/>
  <c r="L173" i="18" s="1"/>
  <c r="I54" i="18"/>
  <c r="J54" i="18" s="1"/>
  <c r="L54" i="18" s="1"/>
  <c r="I49" i="18"/>
  <c r="J49" i="18" s="1"/>
  <c r="L49" i="18" s="1"/>
  <c r="I162" i="18"/>
  <c r="J162" i="18" s="1"/>
  <c r="L162" i="18" s="1"/>
  <c r="I79" i="18"/>
  <c r="J79" i="18" s="1"/>
  <c r="L79" i="18" s="1"/>
  <c r="I42" i="18"/>
  <c r="J42" i="18" s="1"/>
  <c r="L42" i="18" s="1"/>
  <c r="I144" i="18"/>
  <c r="J144" i="18" s="1"/>
  <c r="L144" i="18" s="1"/>
  <c r="I197" i="18"/>
  <c r="J197" i="18" s="1"/>
  <c r="L197" i="18" s="1"/>
  <c r="I101" i="18"/>
  <c r="J101" i="18" s="1"/>
  <c r="L101" i="18" s="1"/>
  <c r="I140" i="18"/>
  <c r="J140" i="18" s="1"/>
  <c r="L140" i="18" s="1"/>
  <c r="I68" i="18"/>
  <c r="J68" i="18" s="1"/>
  <c r="L68" i="18" s="1"/>
  <c r="I119" i="18"/>
  <c r="J119" i="18" s="1"/>
  <c r="L119" i="18" s="1"/>
  <c r="I78" i="18"/>
  <c r="J78" i="18" s="1"/>
  <c r="L78" i="18" s="1"/>
  <c r="I161" i="18"/>
  <c r="J161" i="18" s="1"/>
  <c r="L161" i="18" s="1"/>
  <c r="I82" i="18"/>
  <c r="J82" i="18" s="1"/>
  <c r="L82" i="18" s="1"/>
  <c r="I77" i="18"/>
  <c r="J77" i="18" s="1"/>
  <c r="L77" i="18" s="1"/>
  <c r="I73" i="18"/>
  <c r="J73" i="18" s="1"/>
  <c r="L73" i="18" s="1"/>
  <c r="I205" i="18"/>
  <c r="J205" i="18" s="1"/>
  <c r="L205" i="18" s="1"/>
  <c r="I116" i="18"/>
  <c r="J116" i="18" s="1"/>
  <c r="L116" i="18" s="1"/>
  <c r="I76" i="18"/>
  <c r="J76" i="18" s="1"/>
  <c r="L76" i="18" s="1"/>
  <c r="I170" i="18"/>
  <c r="J170" i="18" s="1"/>
  <c r="L170" i="18" s="1"/>
  <c r="I122" i="18"/>
  <c r="J122" i="18" s="1"/>
  <c r="L122" i="18" s="1"/>
  <c r="I48" i="18"/>
  <c r="J48" i="18" s="1"/>
  <c r="L48" i="18" s="1"/>
  <c r="I85" i="18"/>
  <c r="J85" i="18" s="1"/>
  <c r="L85" i="18" s="1"/>
  <c r="I100" i="18"/>
  <c r="J100" i="18" s="1"/>
  <c r="L100" i="18" s="1"/>
  <c r="I67" i="18"/>
  <c r="J67" i="18" s="1"/>
  <c r="L67" i="18" s="1"/>
  <c r="I23" i="18"/>
  <c r="J23" i="18" s="1"/>
  <c r="L23" i="18" s="1"/>
  <c r="I133" i="18"/>
  <c r="J133" i="18" s="1"/>
  <c r="L133" i="18" s="1"/>
  <c r="I34" i="18"/>
  <c r="J34" i="18" s="1"/>
  <c r="L34" i="18" s="1"/>
  <c r="I75" i="18"/>
  <c r="J75" i="18" s="1"/>
  <c r="L75" i="18" s="1"/>
  <c r="I121" i="18"/>
  <c r="J121" i="18" s="1"/>
  <c r="L121" i="18" s="1"/>
  <c r="I193" i="18"/>
  <c r="J193" i="18" s="1"/>
  <c r="L193" i="18" s="1"/>
  <c r="I167" i="18"/>
  <c r="J167" i="18" s="1"/>
  <c r="L167" i="18" s="1"/>
  <c r="I108" i="18"/>
  <c r="J108" i="18" s="1"/>
  <c r="L108" i="18" s="1"/>
  <c r="I87" i="18"/>
  <c r="J87" i="18" s="1"/>
  <c r="L87" i="18" s="1"/>
  <c r="I69" i="18"/>
  <c r="J69" i="18" s="1"/>
  <c r="L69" i="18" s="1"/>
  <c r="I188" i="18"/>
  <c r="J188" i="18" s="1"/>
  <c r="L188" i="18" s="1"/>
  <c r="I172" i="18"/>
  <c r="J172" i="18" s="1"/>
  <c r="L172" i="18" s="1"/>
  <c r="I195" i="18"/>
  <c r="J195" i="18" s="1"/>
  <c r="L195" i="18" s="1"/>
  <c r="I36" i="18"/>
  <c r="J36" i="18" s="1"/>
  <c r="L36" i="18" s="1"/>
  <c r="I88" i="18"/>
  <c r="J88" i="18" s="1"/>
  <c r="L88" i="18" s="1"/>
  <c r="I152" i="18"/>
  <c r="J152" i="18" s="1"/>
  <c r="L152" i="18" s="1"/>
  <c r="I27" i="18"/>
  <c r="J27" i="18" s="1"/>
  <c r="L27" i="18" s="1"/>
  <c r="I164" i="18"/>
  <c r="J164" i="18" s="1"/>
  <c r="L164" i="18" s="1"/>
  <c r="I141" i="18"/>
  <c r="J141" i="18" s="1"/>
  <c r="L141" i="18" s="1"/>
  <c r="I192" i="18"/>
  <c r="J192" i="18" s="1"/>
  <c r="L192" i="18" s="1"/>
  <c r="I107" i="18"/>
  <c r="J107" i="18" s="1"/>
  <c r="L107" i="18" s="1"/>
  <c r="I126" i="18"/>
  <c r="J126" i="18" s="1"/>
  <c r="L126" i="18" s="1"/>
  <c r="I64" i="18"/>
  <c r="J64" i="18" s="1"/>
  <c r="L64" i="18" s="1"/>
  <c r="I132" i="18"/>
  <c r="J132" i="18" s="1"/>
  <c r="L132" i="18" s="1"/>
  <c r="I112" i="18"/>
  <c r="J112" i="18" s="1"/>
  <c r="L112" i="18" s="1"/>
  <c r="I156" i="18"/>
  <c r="J156" i="18" s="1"/>
  <c r="L156" i="18" s="1"/>
  <c r="I127" i="18"/>
  <c r="J127" i="18" s="1"/>
  <c r="L127" i="18" s="1"/>
  <c r="I196" i="18"/>
  <c r="J196" i="18" s="1"/>
  <c r="L196" i="18" s="1"/>
  <c r="I151" i="18"/>
  <c r="J151" i="18" s="1"/>
  <c r="L151" i="18" s="1"/>
  <c r="I46" i="18"/>
  <c r="J46" i="18" s="1"/>
  <c r="L46" i="18" s="1"/>
  <c r="I58" i="18"/>
  <c r="J58" i="18" s="1"/>
  <c r="L58" i="18" s="1"/>
  <c r="I143" i="18"/>
  <c r="J143" i="18" s="1"/>
  <c r="L143" i="18" s="1"/>
  <c r="I120" i="18"/>
  <c r="J120" i="18" s="1"/>
  <c r="L120" i="18" s="1"/>
  <c r="I139" i="18"/>
  <c r="J139" i="18" s="1"/>
  <c r="L139" i="18" s="1"/>
  <c r="I155" i="18"/>
  <c r="J155" i="18" s="1"/>
  <c r="L155" i="18" s="1"/>
  <c r="I181" i="18"/>
  <c r="J181" i="18" s="1"/>
  <c r="L181" i="18" s="1"/>
  <c r="I163" i="18"/>
  <c r="J163" i="18" s="1"/>
  <c r="L163" i="18" s="1"/>
  <c r="I187" i="18"/>
  <c r="J187" i="18" s="1"/>
  <c r="L187" i="18" s="1"/>
  <c r="I103" i="18"/>
  <c r="J103" i="18" s="1"/>
  <c r="L103" i="18" s="1"/>
  <c r="I106" i="18"/>
  <c r="J106" i="18" s="1"/>
  <c r="L106" i="18" s="1"/>
  <c r="I25" i="18"/>
  <c r="J25" i="18" s="1"/>
  <c r="L25" i="18" s="1"/>
  <c r="I93" i="18"/>
  <c r="J93" i="18" s="1"/>
  <c r="L93" i="18" s="1"/>
  <c r="I148" i="18"/>
  <c r="J148" i="18" s="1"/>
  <c r="L148" i="18" s="1"/>
  <c r="I150" i="18"/>
  <c r="J150" i="18" s="1"/>
  <c r="L150" i="18" s="1"/>
  <c r="I159" i="18"/>
  <c r="J159" i="18" s="1"/>
  <c r="L159" i="18" s="1"/>
  <c r="I51" i="18"/>
  <c r="J51" i="18" s="1"/>
  <c r="L51" i="18" s="1"/>
  <c r="I20" i="18"/>
  <c r="J20" i="18" s="1"/>
  <c r="I50" i="18"/>
  <c r="J50" i="18" s="1"/>
  <c r="L50" i="18" s="1"/>
  <c r="I83" i="18"/>
  <c r="J83" i="18" s="1"/>
  <c r="L83" i="18" s="1"/>
  <c r="I81" i="18"/>
  <c r="J81" i="18" s="1"/>
  <c r="L81" i="18" s="1"/>
  <c r="I56" i="18"/>
  <c r="J56" i="18" s="1"/>
  <c r="I89" i="18"/>
  <c r="J89" i="18" s="1"/>
  <c r="L89" i="18" s="1"/>
  <c r="I84" i="18"/>
  <c r="J84" i="18" s="1"/>
  <c r="L84" i="18" s="1"/>
  <c r="I43" i="18"/>
  <c r="J43" i="18" s="1"/>
  <c r="L43" i="18" s="1"/>
  <c r="I128" i="18"/>
  <c r="J128" i="18" s="1"/>
  <c r="L128" i="18" s="1"/>
  <c r="I110" i="18"/>
  <c r="J110" i="18" s="1"/>
  <c r="L110" i="18" s="1"/>
  <c r="I33" i="18"/>
  <c r="J33" i="18" s="1"/>
  <c r="L33" i="18" s="1"/>
  <c r="I203" i="18"/>
  <c r="J203" i="18" s="1"/>
  <c r="L203" i="18" s="1"/>
  <c r="I102" i="18"/>
  <c r="J102" i="18" s="1"/>
  <c r="L102" i="18" s="1"/>
  <c r="I74" i="18"/>
  <c r="J74" i="18" s="1"/>
  <c r="L74" i="18" s="1"/>
  <c r="I182" i="18"/>
  <c r="J182" i="18" s="1"/>
  <c r="L182" i="18" s="1"/>
  <c r="I65" i="18"/>
  <c r="J65" i="18" s="1"/>
  <c r="L65" i="18" s="1"/>
  <c r="I125" i="18"/>
  <c r="J125" i="18" s="1"/>
  <c r="L125" i="18" s="1"/>
  <c r="I62" i="18"/>
  <c r="J62" i="18" s="1"/>
  <c r="L62" i="18" s="1"/>
  <c r="I35" i="18"/>
  <c r="J35" i="18" s="1"/>
  <c r="L35" i="18" s="1"/>
  <c r="I194" i="18"/>
  <c r="J194" i="18" s="1"/>
  <c r="L194" i="18" s="1"/>
  <c r="L56" i="18" l="1"/>
  <c r="J13" i="18"/>
  <c r="J14" i="18"/>
  <c r="L20" i="18"/>
  <c r="J212" i="18"/>
  <c r="L212" i="18" l="1"/>
  <c r="L14" i="18"/>
  <c r="L13" i="18"/>
  <c r="M211" i="18" l="1"/>
  <c r="N211" i="18" s="1"/>
  <c r="R211" i="18" s="1"/>
  <c r="M147" i="18"/>
  <c r="N147" i="18" s="1"/>
  <c r="R147" i="18" s="1"/>
  <c r="M177" i="18"/>
  <c r="N177" i="18" s="1"/>
  <c r="R177" i="18" s="1"/>
  <c r="M80" i="18"/>
  <c r="N80" i="18" s="1"/>
  <c r="R80" i="18" s="1"/>
  <c r="M112" i="18"/>
  <c r="N112" i="18" s="1"/>
  <c r="R112" i="18" s="1"/>
  <c r="M138" i="18"/>
  <c r="N138" i="18" s="1"/>
  <c r="R138" i="18" s="1"/>
  <c r="M140" i="18"/>
  <c r="N140" i="18" s="1"/>
  <c r="R140" i="18" s="1"/>
  <c r="M99" i="18"/>
  <c r="N99" i="18" s="1"/>
  <c r="R99" i="18" s="1"/>
  <c r="M75" i="18"/>
  <c r="N75" i="18" s="1"/>
  <c r="R75" i="18" s="1"/>
  <c r="M168" i="18"/>
  <c r="N168" i="18" s="1"/>
  <c r="R168" i="18" s="1"/>
  <c r="M152" i="18"/>
  <c r="N152" i="18" s="1"/>
  <c r="R152" i="18" s="1"/>
  <c r="M114" i="18"/>
  <c r="N114" i="18" s="1"/>
  <c r="R114" i="18" s="1"/>
  <c r="M81" i="18"/>
  <c r="N81" i="18" s="1"/>
  <c r="R81" i="18" s="1"/>
  <c r="M154" i="18"/>
  <c r="N154" i="18" s="1"/>
  <c r="R154" i="18" s="1"/>
  <c r="M142" i="18"/>
  <c r="N142" i="18" s="1"/>
  <c r="R142" i="18" s="1"/>
  <c r="M27" i="18"/>
  <c r="N27" i="18" s="1"/>
  <c r="R27" i="18" s="1"/>
  <c r="M151" i="18"/>
  <c r="N151" i="18" s="1"/>
  <c r="R151" i="18" s="1"/>
  <c r="M145" i="18"/>
  <c r="N145" i="18" s="1"/>
  <c r="R145" i="18" s="1"/>
  <c r="M79" i="18"/>
  <c r="N79" i="18" s="1"/>
  <c r="R79" i="18" s="1"/>
  <c r="M144" i="18"/>
  <c r="N144" i="18" s="1"/>
  <c r="R144" i="18" s="1"/>
  <c r="M123" i="18"/>
  <c r="N123" i="18" s="1"/>
  <c r="R123" i="18" s="1"/>
  <c r="M198" i="18"/>
  <c r="N198" i="18" s="1"/>
  <c r="R198" i="18" s="1"/>
  <c r="M60" i="18"/>
  <c r="N60" i="18" s="1"/>
  <c r="R60" i="18" s="1"/>
  <c r="M59" i="18"/>
  <c r="N59" i="18" s="1"/>
  <c r="R59" i="18" s="1"/>
  <c r="M108" i="18"/>
  <c r="N108" i="18" s="1"/>
  <c r="R108" i="18" s="1"/>
  <c r="M133" i="18"/>
  <c r="N133" i="18" s="1"/>
  <c r="R133" i="18" s="1"/>
  <c r="M55" i="18"/>
  <c r="N55" i="18" s="1"/>
  <c r="R55" i="18" s="1"/>
  <c r="M26" i="18"/>
  <c r="N26" i="18" s="1"/>
  <c r="R26" i="18" s="1"/>
  <c r="M116" i="18"/>
  <c r="N116" i="18" s="1"/>
  <c r="R116" i="18" s="1"/>
  <c r="M162" i="18"/>
  <c r="N162" i="18" s="1"/>
  <c r="R162" i="18" s="1"/>
  <c r="M53" i="18"/>
  <c r="N53" i="18" s="1"/>
  <c r="R53" i="18" s="1"/>
  <c r="M139" i="18"/>
  <c r="N139" i="18" s="1"/>
  <c r="R139" i="18" s="1"/>
  <c r="M86" i="18"/>
  <c r="N86" i="18" s="1"/>
  <c r="R86" i="18" s="1"/>
  <c r="M82" i="18"/>
  <c r="N82" i="18" s="1"/>
  <c r="R82" i="18" s="1"/>
  <c r="M49" i="18"/>
  <c r="N49" i="18" s="1"/>
  <c r="R49" i="18" s="1"/>
  <c r="M209" i="18"/>
  <c r="N209" i="18" s="1"/>
  <c r="R209" i="18" s="1"/>
  <c r="M119" i="18"/>
  <c r="N119" i="18" s="1"/>
  <c r="R119" i="18" s="1"/>
  <c r="M48" i="18"/>
  <c r="N48" i="18" s="1"/>
  <c r="R48" i="18" s="1"/>
  <c r="M36" i="18"/>
  <c r="N36" i="18" s="1"/>
  <c r="R36" i="18" s="1"/>
  <c r="M45" i="18"/>
  <c r="N45" i="18" s="1"/>
  <c r="R45" i="18" s="1"/>
  <c r="M107" i="18"/>
  <c r="N107" i="18" s="1"/>
  <c r="R107" i="18" s="1"/>
  <c r="M96" i="18"/>
  <c r="N96" i="18" s="1"/>
  <c r="R96" i="18" s="1"/>
  <c r="M93" i="18"/>
  <c r="N93" i="18" s="1"/>
  <c r="R93" i="18" s="1"/>
  <c r="M43" i="18"/>
  <c r="N43" i="18" s="1"/>
  <c r="R43" i="18" s="1"/>
  <c r="M185" i="18"/>
  <c r="N185" i="18" s="1"/>
  <c r="R185" i="18" s="1"/>
  <c r="M73" i="18"/>
  <c r="N73" i="18" s="1"/>
  <c r="R73" i="18" s="1"/>
  <c r="M95" i="18"/>
  <c r="N95" i="18" s="1"/>
  <c r="R95" i="18" s="1"/>
  <c r="M182" i="18"/>
  <c r="N182" i="18" s="1"/>
  <c r="R182" i="18" s="1"/>
  <c r="M130" i="18"/>
  <c r="N130" i="18" s="1"/>
  <c r="R130" i="18" s="1"/>
  <c r="M106" i="18"/>
  <c r="N106" i="18" s="1"/>
  <c r="R106" i="18" s="1"/>
  <c r="M146" i="18"/>
  <c r="N146" i="18" s="1"/>
  <c r="R146" i="18" s="1"/>
  <c r="M61" i="18"/>
  <c r="N61" i="18" s="1"/>
  <c r="R61" i="18" s="1"/>
  <c r="M148" i="18"/>
  <c r="N148" i="18" s="1"/>
  <c r="R148" i="18" s="1"/>
  <c r="M135" i="18"/>
  <c r="N135" i="18" s="1"/>
  <c r="R135" i="18" s="1"/>
  <c r="M131" i="18"/>
  <c r="N131" i="18" s="1"/>
  <c r="R131" i="18" s="1"/>
  <c r="M63" i="18"/>
  <c r="N63" i="18" s="1"/>
  <c r="R63" i="18" s="1"/>
  <c r="M200" i="18"/>
  <c r="N200" i="18" s="1"/>
  <c r="R200" i="18" s="1"/>
  <c r="M35" i="18"/>
  <c r="N35" i="18" s="1"/>
  <c r="R35" i="18" s="1"/>
  <c r="M85" i="18"/>
  <c r="N85" i="18" s="1"/>
  <c r="R85" i="18" s="1"/>
  <c r="M204" i="18"/>
  <c r="N204" i="18" s="1"/>
  <c r="R204" i="18" s="1"/>
  <c r="M90" i="18"/>
  <c r="N90" i="18" s="1"/>
  <c r="R90" i="18" s="1"/>
  <c r="M127" i="18"/>
  <c r="N127" i="18" s="1"/>
  <c r="R127" i="18" s="1"/>
  <c r="M174" i="18"/>
  <c r="N174" i="18" s="1"/>
  <c r="R174" i="18" s="1"/>
  <c r="M109" i="18"/>
  <c r="N109" i="18" s="1"/>
  <c r="R109" i="18" s="1"/>
  <c r="M42" i="18"/>
  <c r="N42" i="18" s="1"/>
  <c r="R42" i="18" s="1"/>
  <c r="M201" i="18"/>
  <c r="N201" i="18" s="1"/>
  <c r="R201" i="18" s="1"/>
  <c r="M194" i="18"/>
  <c r="N194" i="18" s="1"/>
  <c r="R194" i="18" s="1"/>
  <c r="M69" i="18"/>
  <c r="N69" i="18" s="1"/>
  <c r="R69" i="18" s="1"/>
  <c r="M125" i="18"/>
  <c r="N125" i="18" s="1"/>
  <c r="R125" i="18" s="1"/>
  <c r="M38" i="18"/>
  <c r="N38" i="18" s="1"/>
  <c r="R38" i="18" s="1"/>
  <c r="M117" i="18"/>
  <c r="N117" i="18" s="1"/>
  <c r="R117" i="18" s="1"/>
  <c r="M206" i="18"/>
  <c r="N206" i="18" s="1"/>
  <c r="R206" i="18" s="1"/>
  <c r="M191" i="18"/>
  <c r="N191" i="18" s="1"/>
  <c r="R191" i="18" s="1"/>
  <c r="M143" i="18"/>
  <c r="N143" i="18" s="1"/>
  <c r="R143" i="18" s="1"/>
  <c r="M40" i="18"/>
  <c r="N40" i="18" s="1"/>
  <c r="R40" i="18" s="1"/>
  <c r="M171" i="18"/>
  <c r="N171" i="18" s="1"/>
  <c r="R171" i="18" s="1"/>
  <c r="M202" i="18"/>
  <c r="N202" i="18" s="1"/>
  <c r="R202" i="18" s="1"/>
  <c r="M169" i="18"/>
  <c r="N169" i="18" s="1"/>
  <c r="R169" i="18" s="1"/>
  <c r="M22" i="18"/>
  <c r="N22" i="18" s="1"/>
  <c r="R22" i="18" s="1"/>
  <c r="M105" i="18"/>
  <c r="N105" i="18" s="1"/>
  <c r="R105" i="18" s="1"/>
  <c r="M134" i="18"/>
  <c r="N134" i="18" s="1"/>
  <c r="R134" i="18" s="1"/>
  <c r="M176" i="18"/>
  <c r="N176" i="18" s="1"/>
  <c r="R176" i="18" s="1"/>
  <c r="M110" i="18"/>
  <c r="N110" i="18" s="1"/>
  <c r="R110" i="18" s="1"/>
  <c r="M51" i="18"/>
  <c r="N51" i="18" s="1"/>
  <c r="R51" i="18" s="1"/>
  <c r="M104" i="18"/>
  <c r="N104" i="18" s="1"/>
  <c r="R104" i="18" s="1"/>
  <c r="M83" i="18"/>
  <c r="N83" i="18" s="1"/>
  <c r="R83" i="18" s="1"/>
  <c r="M78" i="18"/>
  <c r="N78" i="18" s="1"/>
  <c r="R78" i="18" s="1"/>
  <c r="M68" i="18"/>
  <c r="N68" i="18" s="1"/>
  <c r="R68" i="18" s="1"/>
  <c r="M128" i="18"/>
  <c r="N128" i="18" s="1"/>
  <c r="R128" i="18" s="1"/>
  <c r="M121" i="18"/>
  <c r="N121" i="18" s="1"/>
  <c r="R121" i="18" s="1"/>
  <c r="M203" i="18"/>
  <c r="N203" i="18" s="1"/>
  <c r="R203" i="18" s="1"/>
  <c r="M187" i="18"/>
  <c r="N187" i="18" s="1"/>
  <c r="R187" i="18" s="1"/>
  <c r="M170" i="18"/>
  <c r="N170" i="18" s="1"/>
  <c r="R170" i="18" s="1"/>
  <c r="M193" i="18"/>
  <c r="N193" i="18" s="1"/>
  <c r="R193" i="18" s="1"/>
  <c r="M76" i="18"/>
  <c r="N76" i="18" s="1"/>
  <c r="R76" i="18" s="1"/>
  <c r="M66" i="18"/>
  <c r="N66" i="18" s="1"/>
  <c r="R66" i="18" s="1"/>
  <c r="M141" i="18"/>
  <c r="N141" i="18" s="1"/>
  <c r="R141" i="18" s="1"/>
  <c r="M208" i="18"/>
  <c r="N208" i="18" s="1"/>
  <c r="R208" i="18" s="1"/>
  <c r="M57" i="18"/>
  <c r="N57" i="18" s="1"/>
  <c r="R57" i="18" s="1"/>
  <c r="M46" i="18"/>
  <c r="N46" i="18" s="1"/>
  <c r="R46" i="18" s="1"/>
  <c r="M179" i="18"/>
  <c r="N179" i="18" s="1"/>
  <c r="R179" i="18" s="1"/>
  <c r="M192" i="18"/>
  <c r="N192" i="18" s="1"/>
  <c r="R192" i="18" s="1"/>
  <c r="M188" i="18"/>
  <c r="N188" i="18" s="1"/>
  <c r="R188" i="18" s="1"/>
  <c r="M67" i="18"/>
  <c r="N67" i="18" s="1"/>
  <c r="R67" i="18" s="1"/>
  <c r="M173" i="18"/>
  <c r="N173" i="18" s="1"/>
  <c r="R173" i="18" s="1"/>
  <c r="M54" i="18"/>
  <c r="N54" i="18" s="1"/>
  <c r="R54" i="18" s="1"/>
  <c r="M165" i="18"/>
  <c r="N165" i="18" s="1"/>
  <c r="R165" i="18" s="1"/>
  <c r="M31" i="18"/>
  <c r="N31" i="18" s="1"/>
  <c r="R31" i="18" s="1"/>
  <c r="M113" i="18"/>
  <c r="N113" i="18" s="1"/>
  <c r="R113" i="18" s="1"/>
  <c r="M89" i="18"/>
  <c r="N89" i="18" s="1"/>
  <c r="R89" i="18" s="1"/>
  <c r="M178" i="18"/>
  <c r="N178" i="18" s="1"/>
  <c r="R178" i="18" s="1"/>
  <c r="M41" i="18"/>
  <c r="N41" i="18" s="1"/>
  <c r="R41" i="18" s="1"/>
  <c r="M34" i="18"/>
  <c r="N34" i="18" s="1"/>
  <c r="R34" i="18" s="1"/>
  <c r="M77" i="18"/>
  <c r="N77" i="18" s="1"/>
  <c r="R77" i="18" s="1"/>
  <c r="M74" i="18"/>
  <c r="N74" i="18" s="1"/>
  <c r="R74" i="18" s="1"/>
  <c r="M120" i="18"/>
  <c r="N120" i="18" s="1"/>
  <c r="R120" i="18" s="1"/>
  <c r="M183" i="18"/>
  <c r="N183" i="18" s="1"/>
  <c r="R183" i="18" s="1"/>
  <c r="M32" i="18"/>
  <c r="N32" i="18" s="1"/>
  <c r="R32" i="18" s="1"/>
  <c r="M161" i="18"/>
  <c r="N161" i="18" s="1"/>
  <c r="R161" i="18" s="1"/>
  <c r="M184" i="18"/>
  <c r="N184" i="18" s="1"/>
  <c r="R184" i="18" s="1"/>
  <c r="M28" i="18"/>
  <c r="N28" i="18" s="1"/>
  <c r="R28" i="18" s="1"/>
  <c r="M210" i="18"/>
  <c r="N210" i="18" s="1"/>
  <c r="R210" i="18" s="1"/>
  <c r="M149" i="18"/>
  <c r="N149" i="18" s="1"/>
  <c r="R149" i="18" s="1"/>
  <c r="M71" i="18"/>
  <c r="N71" i="18" s="1"/>
  <c r="R71" i="18" s="1"/>
  <c r="M126" i="18"/>
  <c r="N126" i="18" s="1"/>
  <c r="R126" i="18" s="1"/>
  <c r="M30" i="18"/>
  <c r="N30" i="18" s="1"/>
  <c r="R30" i="18" s="1"/>
  <c r="M25" i="18"/>
  <c r="N25" i="18" s="1"/>
  <c r="R25" i="18" s="1"/>
  <c r="M97" i="18"/>
  <c r="N97" i="18" s="1"/>
  <c r="R97" i="18" s="1"/>
  <c r="M199" i="18"/>
  <c r="N199" i="18" s="1"/>
  <c r="R199" i="18" s="1"/>
  <c r="M29" i="18"/>
  <c r="N29" i="18" s="1"/>
  <c r="R29" i="18" s="1"/>
  <c r="M58" i="18"/>
  <c r="N58" i="18" s="1"/>
  <c r="R58" i="18" s="1"/>
  <c r="M156" i="18"/>
  <c r="N156" i="18" s="1"/>
  <c r="R156" i="18" s="1"/>
  <c r="M175" i="18"/>
  <c r="N175" i="18" s="1"/>
  <c r="R175" i="18" s="1"/>
  <c r="M84" i="18"/>
  <c r="N84" i="18" s="1"/>
  <c r="R84" i="18" s="1"/>
  <c r="M163" i="18"/>
  <c r="N163" i="18" s="1"/>
  <c r="R163" i="18" s="1"/>
  <c r="M180" i="18"/>
  <c r="N180" i="18" s="1"/>
  <c r="R180" i="18" s="1"/>
  <c r="M98" i="18"/>
  <c r="N98" i="18" s="1"/>
  <c r="R98" i="18" s="1"/>
  <c r="M24" i="18"/>
  <c r="N24" i="18" s="1"/>
  <c r="R24" i="18" s="1"/>
  <c r="M111" i="18"/>
  <c r="N111" i="18" s="1"/>
  <c r="R111" i="18" s="1"/>
  <c r="M37" i="18"/>
  <c r="N37" i="18" s="1"/>
  <c r="R37" i="18" s="1"/>
  <c r="M103" i="18"/>
  <c r="N103" i="18" s="1"/>
  <c r="R103" i="18" s="1"/>
  <c r="M94" i="18"/>
  <c r="N94" i="18" s="1"/>
  <c r="R94" i="18" s="1"/>
  <c r="M122" i="18"/>
  <c r="N122" i="18" s="1"/>
  <c r="R122" i="18" s="1"/>
  <c r="M150" i="18"/>
  <c r="N150" i="18" s="1"/>
  <c r="R150" i="18" s="1"/>
  <c r="M91" i="18"/>
  <c r="N91" i="18" s="1"/>
  <c r="R91" i="18" s="1"/>
  <c r="M62" i="18"/>
  <c r="N62" i="18" s="1"/>
  <c r="R62" i="18" s="1"/>
  <c r="M52" i="18"/>
  <c r="N52" i="18" s="1"/>
  <c r="R52" i="18" s="1"/>
  <c r="M164" i="18"/>
  <c r="N164" i="18" s="1"/>
  <c r="R164" i="18" s="1"/>
  <c r="M65" i="18"/>
  <c r="N65" i="18" s="1"/>
  <c r="R65" i="18" s="1"/>
  <c r="M100" i="18"/>
  <c r="N100" i="18" s="1"/>
  <c r="R100" i="18" s="1"/>
  <c r="M64" i="18"/>
  <c r="N64" i="18" s="1"/>
  <c r="R64" i="18" s="1"/>
  <c r="M33" i="18"/>
  <c r="N33" i="18" s="1"/>
  <c r="R33" i="18" s="1"/>
  <c r="M132" i="18"/>
  <c r="N132" i="18" s="1"/>
  <c r="R132" i="18" s="1"/>
  <c r="M196" i="18"/>
  <c r="N196" i="18" s="1"/>
  <c r="R196" i="18" s="1"/>
  <c r="M44" i="18"/>
  <c r="N44" i="18" s="1"/>
  <c r="R44" i="18" s="1"/>
  <c r="M72" i="18"/>
  <c r="N72" i="18" s="1"/>
  <c r="R72" i="18" s="1"/>
  <c r="M124" i="18"/>
  <c r="N124" i="18" s="1"/>
  <c r="R124" i="18" s="1"/>
  <c r="M190" i="18"/>
  <c r="N190" i="18" s="1"/>
  <c r="R190" i="18" s="1"/>
  <c r="M102" i="18"/>
  <c r="N102" i="18" s="1"/>
  <c r="R102" i="18" s="1"/>
  <c r="M20" i="18"/>
  <c r="M158" i="18"/>
  <c r="N158" i="18" s="1"/>
  <c r="R158" i="18" s="1"/>
  <c r="M195" i="18"/>
  <c r="N195" i="18" s="1"/>
  <c r="R195" i="18" s="1"/>
  <c r="M160" i="18"/>
  <c r="N160" i="18" s="1"/>
  <c r="R160" i="18" s="1"/>
  <c r="M50" i="18"/>
  <c r="N50" i="18" s="1"/>
  <c r="R50" i="18" s="1"/>
  <c r="M115" i="18"/>
  <c r="N115" i="18" s="1"/>
  <c r="R115" i="18" s="1"/>
  <c r="M207" i="18"/>
  <c r="N207" i="18" s="1"/>
  <c r="R207" i="18" s="1"/>
  <c r="M87" i="18"/>
  <c r="N87" i="18" s="1"/>
  <c r="R87" i="18" s="1"/>
  <c r="M23" i="18"/>
  <c r="N23" i="18" s="1"/>
  <c r="R23" i="18" s="1"/>
  <c r="M186" i="18"/>
  <c r="N186" i="18" s="1"/>
  <c r="R186" i="18" s="1"/>
  <c r="M137" i="18"/>
  <c r="N137" i="18" s="1"/>
  <c r="R137" i="18" s="1"/>
  <c r="M92" i="18"/>
  <c r="N92" i="18" s="1"/>
  <c r="R92" i="18" s="1"/>
  <c r="M157" i="18"/>
  <c r="N157" i="18" s="1"/>
  <c r="R157" i="18" s="1"/>
  <c r="M205" i="18"/>
  <c r="N205" i="18" s="1"/>
  <c r="R205" i="18" s="1"/>
  <c r="M181" i="18"/>
  <c r="N181" i="18" s="1"/>
  <c r="R181" i="18" s="1"/>
  <c r="M47" i="18"/>
  <c r="N47" i="18" s="1"/>
  <c r="R47" i="18" s="1"/>
  <c r="M159" i="18"/>
  <c r="N159" i="18" s="1"/>
  <c r="R159" i="18" s="1"/>
  <c r="M129" i="18"/>
  <c r="N129" i="18" s="1"/>
  <c r="R129" i="18" s="1"/>
  <c r="M153" i="18"/>
  <c r="N153" i="18" s="1"/>
  <c r="R153" i="18" s="1"/>
  <c r="M166" i="18"/>
  <c r="N166" i="18" s="1"/>
  <c r="R166" i="18" s="1"/>
  <c r="M88" i="18"/>
  <c r="N88" i="18" s="1"/>
  <c r="R88" i="18" s="1"/>
  <c r="M167" i="18"/>
  <c r="N167" i="18" s="1"/>
  <c r="R167" i="18" s="1"/>
  <c r="M56" i="18"/>
  <c r="M101" i="18"/>
  <c r="N101" i="18" s="1"/>
  <c r="R101" i="18" s="1"/>
  <c r="M70" i="18"/>
  <c r="N70" i="18" s="1"/>
  <c r="R70" i="18" s="1"/>
  <c r="M197" i="18"/>
  <c r="N197" i="18" s="1"/>
  <c r="R197" i="18" s="1"/>
  <c r="M21" i="18"/>
  <c r="N21" i="18" s="1"/>
  <c r="R21" i="18" s="1"/>
  <c r="M39" i="18"/>
  <c r="N39" i="18" s="1"/>
  <c r="R39" i="18" s="1"/>
  <c r="M155" i="18"/>
  <c r="N155" i="18" s="1"/>
  <c r="R155" i="18" s="1"/>
  <c r="M136" i="18"/>
  <c r="N136" i="18" s="1"/>
  <c r="R136" i="18" s="1"/>
  <c r="M172" i="18"/>
  <c r="N172" i="18" s="1"/>
  <c r="R172" i="18" s="1"/>
  <c r="M189" i="18"/>
  <c r="N189" i="18" s="1"/>
  <c r="R189" i="18" s="1"/>
  <c r="M118" i="18"/>
  <c r="N118" i="18" s="1"/>
  <c r="R118" i="18" s="1"/>
  <c r="M212" i="18" l="1"/>
  <c r="N20" i="18"/>
  <c r="M13" i="18"/>
  <c r="N56" i="18"/>
  <c r="R20" i="18" l="1"/>
  <c r="N14" i="18"/>
  <c r="R56" i="18"/>
  <c r="R13" i="18" s="1"/>
  <c r="N13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<sst xmlns="http://schemas.openxmlformats.org/spreadsheetml/2006/main" count="421" uniqueCount="105">
  <si>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</si>
  <si>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</si>
  <si>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</si>
  <si>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</si>
  <si>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</si>
  <si>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</si>
  <si>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</si>
  <si>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</si>
  <si>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</si>
  <si>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</si>
  <si>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</si>
  <si>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</si>
  <si>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</si>
  <si>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</si>
  <si>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</si>
  <si>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</si>
  <si>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</si>
  <si>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</si>
  <si>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</si>
  <si>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</si>
  <si>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</si>
  <si>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</si>
  <si>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</si>
  <si>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</si>
  <si>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</si>
  <si>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</si>
  <si>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</si>
  <si>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</si>
  <si>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</si>
  <si>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</si>
  <si>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</si>
  <si>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</si>
  <si>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</si>
  <si>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</si>
  <si>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</si>
  <si>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</si>
  <si>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</si>
  <si>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</si>
  <si>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</si>
  <si>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</si>
  <si>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</si>
  <si>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</si>
  <si>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</si>
  <si>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</si>
  <si>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</si>
  <si>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</si>
  <si>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</si>
  <si>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</si>
  <si>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</si>
  <si>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</si>
  <si>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</si>
  <si>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</si>
  <si>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</si>
  <si>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</si>
  <si>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</si>
  <si>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</si>
  <si>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</si>
  <si>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</si>
  <si>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</si>
  <si>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</si>
  <si>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</si>
  <si>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</si>
  <si>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</si>
  <si>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</si>
  <si>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</si>
  <si>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</si>
  <si>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</si>
  <si>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</si>
  <si>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</si>
  <si>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</si>
  <si>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</si>
  <si>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</si>
  <si>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</si>
  <si>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</si>
  <si>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</si>
  <si>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</si>
  <si>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</si>
  <si>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</si>
  <si>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</si>
  <si>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</si>
  <si>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</si>
  <si>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</si>
  <si>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</si>
  <si>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</si>
  <si>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</si>
  <si>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</si>
  <si>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</si>
  <si>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</si>
  <si>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</si>
  <si>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</si>
  <si>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</si>
  <si>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</si>
  <si>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</si>
  <si>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</si>
  <si>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</si>
  <si>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</si>
  <si>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</si>
  <si>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AEPTCo Formula Rate -- FERC Docket ER18-195</t>
  </si>
  <si>
    <t>2020 True Up Including Interest</t>
  </si>
  <si>
    <t>Total NITS Surcharge / Refund</t>
  </si>
  <si>
    <r>
      <t>2022 True-Up
(</t>
    </r>
    <r>
      <rPr>
        <sz val="10"/>
        <rFont val="Arial"/>
        <family val="2"/>
      </rPr>
      <t>w/o Interest)</t>
    </r>
  </si>
  <si>
    <t>2022 Interest</t>
  </si>
  <si>
    <t>2022 Tax True Up</t>
  </si>
  <si>
    <t>Total 2022
True-Up Surcharge / (Refund)</t>
  </si>
  <si>
    <t>2022 ROE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</si>
</sst>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64" fontId="0" fillId="0" borderId="28" xfId="0" applyNumberFormat="1" applyBorder="1" applyAlignment="1" applyProtection="1">
      <alignment horizontal="right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164" fontId="5" fillId="0" borderId="0" xfId="0" applyNumberFormat="1" applyFont="1" applyFill="1" applyBorder="1" applyAlignment="1" applyProtection="1">
      <alignment horizontal="center"/>
    </xf>
    <xf numFmtId="10" fontId="24" fillId="0" borderId="0" xfId="4" quotePrefix="1" applyNumberFormat="1" applyFont="1" applyFill="1" applyBorder="1" applyAlignment="1" applyProtection="1">
      <alignment horizontal="left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49016" refreshedDate="45069.35162465278" createdVersion="6" refreshedVersion="7" recordCount="192" xr:uid="{00000000-000A-0000-FFFF-FFFFE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2-12-02T00:00:00" count="156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2-02-03T00:00:00" maxDate="2023-01-05T00:00:00"/>
    </cacheField>
    <cacheField name="Payment Received*" numFmtId="14">
      <sharedItems containsSemiMixedTypes="0" containsNonDate="0" containsDate="1" containsString="0" minDate="2022-02-23T00:00:00" maxDate="2023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30"/>
    </cacheField>
    <cacheField name="Projected Rate (as Invoiced)" numFmtId="164">
      <sharedItems containsSemiMixedTypes="0" containsString="0" containsNumber="1" minValue="877.15" maxValue="877.15"/>
    </cacheField>
    <cacheField name="Actual True-Up Rate" numFmtId="164">
      <sharedItems containsSemiMixedTypes="0" containsString="0" containsNumber="1" minValue="836.6" maxValue="836.6"/>
    </cacheField>
    <cacheField name="True-Up Charge" numFmtId="164">
      <sharedItems containsSemiMixedTypes="0" containsString="0" containsNumber="1" minValue="836.6" maxValue="3538818"/>
    </cacheField>
    <cacheField name="Invoiced*** Charge (proj.)" numFmtId="164">
      <sharedItems containsSemiMixedTypes="0" containsString="0" containsNumber="1" minValue="877.15" maxValue="3710344.5"/>
    </cacheField>
    <cacheField name="True-Up w/o Interest" numFmtId="164">
      <sharedItems containsSemiMixedTypes="0" containsString="0" containsNumber="1" minValue="-171526.5" maxValue="-40.549999999999955"/>
    </cacheField>
    <cacheField name="Interest" numFmtId="164">
      <sharedItems containsSemiMixedTypes="0" containsString="0" containsNumber="1" minValue="-9366.8037207167454" maxValue="-2.2143744020606966"/>
    </cacheField>
    <cacheField name="2020 True Up Including Interest" numFmtId="164">
      <sharedItems containsSemiMixedTypes="0" containsString="0" containsNumber="1" minValue="-180893.30372071674" maxValue="-42.764374402060653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180893.30372071674" maxValue="-42.7643744020606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2-02-03T00:00:00"/>
    <d v="2022-02-23T00:00:00"/>
    <x v="0"/>
    <n v="9"/>
    <n v="2899"/>
    <n v="877.15"/>
    <n v="836.6"/>
    <n v="2425303.4"/>
    <n v="2542857.85"/>
    <n v="-117554.45000000019"/>
    <n v="-6419.4713915739585"/>
    <n v="-123973.92139157414"/>
    <n v="0"/>
    <n v="0"/>
    <n v="0"/>
    <n v="-123973.92139157414"/>
  </r>
  <r>
    <x v="1"/>
    <d v="2022-03-03T00:00:00"/>
    <d v="2022-03-22T00:00:00"/>
    <x v="0"/>
    <n v="9"/>
    <n v="2759"/>
    <n v="877.15"/>
    <n v="836.6"/>
    <n v="2308179.4"/>
    <n v="2420056.85"/>
    <n v="-111877.45000000019"/>
    <n v="-6109.4589752854608"/>
    <n v="-117986.90897528565"/>
    <n v="0"/>
    <n v="0"/>
    <n v="0"/>
    <n v="-117986.90897528565"/>
  </r>
  <r>
    <x v="2"/>
    <d v="2022-04-05T00:00:00"/>
    <d v="2022-04-25T00:00:00"/>
    <x v="0"/>
    <n v="9"/>
    <n v="2450"/>
    <n v="877.15"/>
    <n v="836.6"/>
    <n v="2049670"/>
    <n v="2149017.5"/>
    <n v="-99347.5"/>
    <n v="-5425.2172850487059"/>
    <n v="-104772.71728504871"/>
    <n v="0"/>
    <n v="0"/>
    <n v="0"/>
    <n v="-104772.71728504871"/>
  </r>
  <r>
    <x v="3"/>
    <d v="2022-05-04T00:00:00"/>
    <d v="2022-05-24T00:00:00"/>
    <x v="0"/>
    <n v="9"/>
    <n v="2395"/>
    <n v="877.15"/>
    <n v="836.6"/>
    <n v="2003657"/>
    <n v="2100774.25"/>
    <n v="-97117.25"/>
    <n v="-5303.4266929353671"/>
    <n v="-102420.67669293536"/>
    <n v="0"/>
    <n v="0"/>
    <n v="0"/>
    <n v="-102420.67669293536"/>
  </r>
  <r>
    <x v="4"/>
    <d v="2022-06-03T00:00:00"/>
    <d v="2022-06-23T00:00:00"/>
    <x v="0"/>
    <n v="9"/>
    <n v="3482"/>
    <n v="877.15"/>
    <n v="836.6"/>
    <n v="2913041.2"/>
    <n v="3054236.3"/>
    <n v="-141195.09999999963"/>
    <n v="-7710.4516679753451"/>
    <n v="-148905.55166797497"/>
    <n v="0"/>
    <n v="0"/>
    <n v="0"/>
    <n v="-148905.55166797497"/>
  </r>
  <r>
    <x v="5"/>
    <d v="2022-07-05T00:00:00"/>
    <d v="2022-07-25T00:00:00"/>
    <x v="0"/>
    <n v="9"/>
    <n v="4006"/>
    <n v="877.15"/>
    <n v="836.6"/>
    <n v="3351419.6"/>
    <n v="3513862.9"/>
    <n v="-162443.29999999981"/>
    <n v="-8870.7838546551502"/>
    <n v="-171314.08385465498"/>
    <n v="0"/>
    <n v="0"/>
    <n v="0"/>
    <n v="-171314.08385465498"/>
  </r>
  <r>
    <x v="6"/>
    <d v="2022-08-03T00:00:00"/>
    <d v="2022-08-23T00:00:00"/>
    <x v="0"/>
    <n v="9"/>
    <n v="4230"/>
    <n v="877.15"/>
    <n v="836.6"/>
    <n v="3538818"/>
    <n v="3710344.5"/>
    <n v="-171526.5"/>
    <n v="-9366.8037207167454"/>
    <n v="-180893.30372071674"/>
    <n v="0"/>
    <n v="0"/>
    <n v="0"/>
    <n v="-180893.30372071674"/>
  </r>
  <r>
    <x v="7"/>
    <d v="2022-09-05T00:00:00"/>
    <d v="2022-09-23T00:00:00"/>
    <x v="0"/>
    <n v="9"/>
    <n v="4151"/>
    <n v="877.15"/>
    <n v="836.6"/>
    <n v="3472726.6"/>
    <n v="3641049.65"/>
    <n v="-168323.04999999981"/>
    <n v="-9191.8681429539502"/>
    <n v="-177514.91814295377"/>
    <n v="0"/>
    <n v="0"/>
    <n v="0"/>
    <n v="-177514.91814295377"/>
  </r>
  <r>
    <x v="8"/>
    <d v="2022-10-05T00:00:00"/>
    <d v="2022-10-25T00:00:00"/>
    <x v="0"/>
    <n v="9"/>
    <n v="3898"/>
    <n v="877.15"/>
    <n v="836.6"/>
    <n v="3261066.8000000003"/>
    <n v="3419130.6999999997"/>
    <n v="-158063.89999999944"/>
    <n v="-8631.6314192325954"/>
    <n v="-166695.53141923202"/>
    <n v="0"/>
    <n v="0"/>
    <n v="0"/>
    <n v="-166695.53141923202"/>
  </r>
  <r>
    <x v="9"/>
    <d v="2022-11-03T00:00:00"/>
    <d v="2022-11-23T00:00:00"/>
    <x v="0"/>
    <n v="9"/>
    <n v="2760"/>
    <n v="877.15"/>
    <n v="836.6"/>
    <n v="2309016"/>
    <n v="2420934"/>
    <n v="-111918"/>
    <n v="-6111.6733496875222"/>
    <n v="-118029.67334968752"/>
    <n v="0"/>
    <n v="0"/>
    <n v="0"/>
    <n v="-118029.67334968752"/>
  </r>
  <r>
    <x v="10"/>
    <d v="2022-12-05T00:00:00"/>
    <d v="2022-12-23T00:00:00"/>
    <x v="0"/>
    <n v="9"/>
    <n v="2561"/>
    <n v="877.15"/>
    <n v="836.6"/>
    <n v="2142532.6"/>
    <n v="2246381.15"/>
    <n v="-103848.54999999981"/>
    <n v="-5671.012843677443"/>
    <n v="-109519.56284367725"/>
    <n v="0"/>
    <n v="0"/>
    <n v="0"/>
    <n v="-109519.56284367725"/>
  </r>
  <r>
    <x v="11"/>
    <d v="2023-01-04T00:00:00"/>
    <d v="2023-01-24T00:00:00"/>
    <x v="0"/>
    <n v="9"/>
    <n v="3150"/>
    <n v="877.15"/>
    <n v="836.6"/>
    <n v="2635290"/>
    <n v="2763022.5"/>
    <n v="-127732.5"/>
    <n v="-6975.2793664911933"/>
    <n v="-134707.77936649119"/>
    <n v="0"/>
    <n v="0"/>
    <n v="0"/>
    <n v="-134707.77936649119"/>
  </r>
  <r>
    <x v="0"/>
    <d v="2022-02-03T00:00:00"/>
    <d v="2022-02-23T00:00:00"/>
    <x v="1"/>
    <n v="9"/>
    <n v="2921"/>
    <n v="877.15"/>
    <n v="836.6"/>
    <n v="2443708.6"/>
    <n v="2562155.15"/>
    <n v="-118446.54999999981"/>
    <n v="-6468.187628419294"/>
    <n v="-124914.73762841911"/>
    <n v="0"/>
    <n v="0"/>
    <n v="0"/>
    <n v="-124914.73762841911"/>
  </r>
  <r>
    <x v="1"/>
    <d v="2022-03-03T00:00:00"/>
    <d v="2022-03-22T00:00:00"/>
    <x v="1"/>
    <n v="9"/>
    <n v="2853"/>
    <n v="877.15"/>
    <n v="836.6"/>
    <n v="2386819.8000000003"/>
    <n v="2502508.9499999997"/>
    <n v="-115689.14999999944"/>
    <n v="-6317.6101690791666"/>
    <n v="-122006.76016907861"/>
    <n v="0"/>
    <n v="0"/>
    <n v="0"/>
    <n v="-122006.76016907861"/>
  </r>
  <r>
    <x v="2"/>
    <d v="2022-04-05T00:00:00"/>
    <d v="2022-04-25T00:00:00"/>
    <x v="1"/>
    <n v="9"/>
    <n v="2560"/>
    <n v="877.15"/>
    <n v="836.6"/>
    <n v="2141696"/>
    <n v="2245504"/>
    <n v="-103808"/>
    <n v="-5668.7984692753826"/>
    <n v="-109476.79846927538"/>
    <n v="0"/>
    <n v="0"/>
    <n v="0"/>
    <n v="-109476.79846927538"/>
  </r>
  <r>
    <x v="3"/>
    <d v="2022-05-04T00:00:00"/>
    <d v="2022-05-24T00:00:00"/>
    <x v="1"/>
    <n v="9"/>
    <n v="2434"/>
    <n v="877.15"/>
    <n v="836.6"/>
    <n v="2036284.4000000001"/>
    <n v="2134983.1"/>
    <n v="-98698.699999999953"/>
    <n v="-5389.7872946157349"/>
    <n v="-104088.48729461568"/>
    <n v="0"/>
    <n v="0"/>
    <n v="0"/>
    <n v="-104088.48729461568"/>
  </r>
  <r>
    <x v="4"/>
    <d v="2022-06-03T00:00:00"/>
    <d v="2022-06-23T00:00:00"/>
    <x v="1"/>
    <n v="9"/>
    <n v="3117"/>
    <n v="877.15"/>
    <n v="836.6"/>
    <n v="2607682.2000000002"/>
    <n v="2734076.55"/>
    <n v="-126394.34999999963"/>
    <n v="-6902.20501122319"/>
    <n v="-133296.55501122281"/>
    <n v="0"/>
    <n v="0"/>
    <n v="0"/>
    <n v="-133296.55501122281"/>
  </r>
  <r>
    <x v="5"/>
    <d v="2022-07-05T00:00:00"/>
    <d v="2022-07-25T00:00:00"/>
    <x v="1"/>
    <n v="9"/>
    <n v="3536"/>
    <n v="877.15"/>
    <n v="836.6"/>
    <n v="2958217.6"/>
    <n v="3101602.4"/>
    <n v="-143384.79999999981"/>
    <n v="-7830.0278856866225"/>
    <n v="-151214.82788568645"/>
    <n v="0"/>
    <n v="0"/>
    <n v="0"/>
    <n v="-151214.82788568645"/>
  </r>
  <r>
    <x v="6"/>
    <d v="2022-08-03T00:00:00"/>
    <d v="2022-08-23T00:00:00"/>
    <x v="1"/>
    <n v="9"/>
    <n v="3696"/>
    <n v="877.15"/>
    <n v="836.6"/>
    <n v="3092073.6"/>
    <n v="3241946.4"/>
    <n v="-149872.79999999981"/>
    <n v="-8184.3277900163339"/>
    <n v="-158057.12779001615"/>
    <n v="0"/>
    <n v="0"/>
    <n v="0"/>
    <n v="-158057.12779001615"/>
  </r>
  <r>
    <x v="7"/>
    <d v="2022-09-05T00:00:00"/>
    <d v="2022-09-23T00:00:00"/>
    <x v="1"/>
    <n v="9"/>
    <n v="3632"/>
    <n v="877.15"/>
    <n v="836.6"/>
    <n v="3038531.2"/>
    <n v="3185808.8"/>
    <n v="-147277.59999999963"/>
    <n v="-8042.6078282844492"/>
    <n v="-155320.20782828407"/>
    <n v="0"/>
    <n v="0"/>
    <n v="0"/>
    <n v="-155320.20782828407"/>
  </r>
  <r>
    <x v="8"/>
    <d v="2022-10-05T00:00:00"/>
    <d v="2022-10-25T00:00:00"/>
    <x v="1"/>
    <n v="9"/>
    <n v="3337"/>
    <n v="877.15"/>
    <n v="836.6"/>
    <n v="2791734.2"/>
    <n v="2927049.55"/>
    <n v="-135315.34999999963"/>
    <n v="-7389.3673796765434"/>
    <n v="-142704.71737967618"/>
    <n v="0"/>
    <n v="0"/>
    <n v="0"/>
    <n v="-142704.71737967618"/>
  </r>
  <r>
    <x v="9"/>
    <d v="2022-11-03T00:00:00"/>
    <d v="2022-11-23T00:00:00"/>
    <x v="1"/>
    <n v="9"/>
    <n v="2496"/>
    <n v="877.15"/>
    <n v="836.6"/>
    <n v="2088153.6"/>
    <n v="2189366.4"/>
    <n v="-101212.79999999981"/>
    <n v="-5527.0785075434978"/>
    <n v="-106739.87850754331"/>
    <n v="0"/>
    <n v="0"/>
    <n v="0"/>
    <n v="-106739.87850754331"/>
  </r>
  <r>
    <x v="10"/>
    <d v="2022-12-05T00:00:00"/>
    <d v="2022-12-23T00:00:00"/>
    <x v="1"/>
    <n v="9"/>
    <n v="2518"/>
    <n v="877.15"/>
    <n v="836.6"/>
    <n v="2106558.8000000003"/>
    <n v="2208663.6999999997"/>
    <n v="-102104.89999999944"/>
    <n v="-5575.7947443888334"/>
    <n v="-107680.69474438828"/>
    <n v="0"/>
    <n v="0"/>
    <n v="0"/>
    <n v="-107680.69474438828"/>
  </r>
  <r>
    <x v="11"/>
    <d v="2023-01-04T00:00:00"/>
    <d v="2023-01-24T00:00:00"/>
    <x v="1"/>
    <n v="9"/>
    <n v="3399"/>
    <n v="877.15"/>
    <n v="836.6"/>
    <n v="2843603.4"/>
    <n v="2981432.85"/>
    <n v="-137829.45000000019"/>
    <n v="-7526.6585926043062"/>
    <n v="-145356.10859260449"/>
    <n v="0"/>
    <n v="0"/>
    <n v="0"/>
    <n v="-145356.10859260449"/>
  </r>
  <r>
    <x v="0"/>
    <d v="2022-02-03T00:00:00"/>
    <d v="2022-02-23T00:00:00"/>
    <x v="2"/>
    <n v="9"/>
    <n v="163"/>
    <n v="877.15"/>
    <n v="836.6"/>
    <n v="136365.80000000002"/>
    <n v="142975.44999999998"/>
    <n v="-6609.6499999999651"/>
    <n v="-360.94302753589346"/>
    <n v="-6970.5930275358587"/>
    <n v="0"/>
    <n v="0"/>
    <n v="0"/>
    <n v="-6970.5930275358587"/>
  </r>
  <r>
    <x v="1"/>
    <d v="2022-03-03T00:00:00"/>
    <d v="2022-03-22T00:00:00"/>
    <x v="2"/>
    <n v="9"/>
    <n v="155"/>
    <n v="877.15"/>
    <n v="836.6"/>
    <n v="129673"/>
    <n v="135958.25"/>
    <n v="-6285.25"/>
    <n v="-343.22803231940793"/>
    <n v="-6628.4780323194082"/>
    <n v="0"/>
    <n v="0"/>
    <n v="0"/>
    <n v="-6628.4780323194082"/>
  </r>
  <r>
    <x v="2"/>
    <d v="2022-04-05T00:00:00"/>
    <d v="2022-04-25T00:00:00"/>
    <x v="2"/>
    <n v="9"/>
    <n v="141"/>
    <n v="877.15"/>
    <n v="836.6"/>
    <n v="117960.6"/>
    <n v="123678.15"/>
    <n v="-5717.5499999999884"/>
    <n v="-312.22679069055818"/>
    <n v="-6029.7767906905465"/>
    <n v="0"/>
    <n v="0"/>
    <n v="0"/>
    <n v="-6029.7767906905465"/>
  </r>
  <r>
    <x v="3"/>
    <d v="2022-05-04T00:00:00"/>
    <d v="2022-05-24T00:00:00"/>
    <x v="2"/>
    <n v="9"/>
    <n v="92"/>
    <n v="877.15"/>
    <n v="836.6"/>
    <n v="76967.199999999997"/>
    <n v="80697.8"/>
    <n v="-3730.6000000000058"/>
    <n v="-203.72244498958406"/>
    <n v="-3934.3224449895897"/>
    <n v="0"/>
    <n v="0"/>
    <n v="0"/>
    <n v="-3934.3224449895897"/>
  </r>
  <r>
    <x v="4"/>
    <d v="2022-06-03T00:00:00"/>
    <d v="2022-06-23T00:00:00"/>
    <x v="2"/>
    <n v="9"/>
    <n v="131"/>
    <n v="877.15"/>
    <n v="836.6"/>
    <n v="109594.6"/>
    <n v="114906.65"/>
    <n v="-5312.0499999999884"/>
    <n v="-290.08304666995122"/>
    <n v="-5602.1330466699392"/>
    <n v="0"/>
    <n v="0"/>
    <n v="0"/>
    <n v="-5602.1330466699392"/>
  </r>
  <r>
    <x v="5"/>
    <d v="2022-07-05T00:00:00"/>
    <d v="2022-07-25T00:00:00"/>
    <x v="2"/>
    <n v="9"/>
    <n v="152"/>
    <n v="877.15"/>
    <n v="836.6"/>
    <n v="127163.2"/>
    <n v="133326.79999999999"/>
    <n v="-6163.5999999999913"/>
    <n v="-336.58490911322582"/>
    <n v="-6500.1849091132171"/>
    <n v="0"/>
    <n v="0"/>
    <n v="0"/>
    <n v="-6500.1849091132171"/>
  </r>
  <r>
    <x v="6"/>
    <d v="2022-08-03T00:00:00"/>
    <d v="2022-08-23T00:00:00"/>
    <x v="2"/>
    <n v="9"/>
    <n v="149"/>
    <n v="877.15"/>
    <n v="836.6"/>
    <n v="124653.40000000001"/>
    <n v="130695.34999999999"/>
    <n v="-6041.9499999999825"/>
    <n v="-329.94178590704377"/>
    <n v="-6371.8917859070261"/>
    <n v="0"/>
    <n v="0"/>
    <n v="0"/>
    <n v="-6371.8917859070261"/>
  </r>
  <r>
    <x v="7"/>
    <d v="2022-09-05T00:00:00"/>
    <d v="2022-09-23T00:00:00"/>
    <x v="2"/>
    <n v="9"/>
    <n v="137"/>
    <n v="877.15"/>
    <n v="836.6"/>
    <n v="114614.2"/>
    <n v="120169.55"/>
    <n v="-5555.3500000000058"/>
    <n v="-303.36929308231538"/>
    <n v="-5858.7192930823212"/>
    <n v="0"/>
    <n v="0"/>
    <n v="0"/>
    <n v="-5858.7192930823212"/>
  </r>
  <r>
    <x v="8"/>
    <d v="2022-10-05T00:00:00"/>
    <d v="2022-10-25T00:00:00"/>
    <x v="2"/>
    <n v="9"/>
    <n v="136"/>
    <n v="877.15"/>
    <n v="836.6"/>
    <n v="113777.60000000001"/>
    <n v="119292.4"/>
    <n v="-5514.7999999999884"/>
    <n v="-301.1549186802547"/>
    <n v="-5815.9549186802433"/>
    <n v="0"/>
    <n v="0"/>
    <n v="0"/>
    <n v="-5815.9549186802433"/>
  </r>
  <r>
    <x v="9"/>
    <d v="2022-11-03T00:00:00"/>
    <d v="2022-11-23T00:00:00"/>
    <x v="2"/>
    <n v="9"/>
    <n v="91"/>
    <n v="877.15"/>
    <n v="836.6"/>
    <n v="76130.600000000006"/>
    <n v="79820.649999999994"/>
    <n v="-3690.0499999999884"/>
    <n v="-201.50807058752335"/>
    <n v="-3891.5580705875118"/>
    <n v="0"/>
    <n v="0"/>
    <n v="0"/>
    <n v="-3891.5580705875118"/>
  </r>
  <r>
    <x v="10"/>
    <d v="2022-12-05T00:00:00"/>
    <d v="2022-12-23T00:00:00"/>
    <x v="2"/>
    <n v="9"/>
    <n v="113"/>
    <n v="877.15"/>
    <n v="836.6"/>
    <n v="94535.8"/>
    <n v="99117.95"/>
    <n v="-4582.1499999999942"/>
    <n v="-250.22430743285869"/>
    <n v="-4832.3743074328531"/>
    <n v="0"/>
    <n v="0"/>
    <n v="0"/>
    <n v="-4832.3743074328531"/>
  </r>
  <r>
    <x v="11"/>
    <d v="2023-01-04T00:00:00"/>
    <d v="2023-01-24T00:00:00"/>
    <x v="2"/>
    <n v="9"/>
    <n v="210"/>
    <n v="877.15"/>
    <n v="836.6"/>
    <n v="175686"/>
    <n v="184201.5"/>
    <n v="-8515.5"/>
    <n v="-465.01862443274626"/>
    <n v="-8980.5186244327469"/>
    <n v="0"/>
    <n v="0"/>
    <n v="0"/>
    <n v="-8980.5186244327469"/>
  </r>
  <r>
    <x v="0"/>
    <d v="2022-02-03T00:00:00"/>
    <d v="2022-02-23T00:00:00"/>
    <x v="3"/>
    <n v="9"/>
    <n v="893"/>
    <n v="877.15"/>
    <n v="836.6"/>
    <n v="747083.8"/>
    <n v="783294.95"/>
    <n v="-36211.149999999907"/>
    <n v="-1977.4363410402018"/>
    <n v="-38188.586341040107"/>
    <n v="0"/>
    <n v="0"/>
    <n v="0"/>
    <n v="-38188.586341040107"/>
  </r>
  <r>
    <x v="1"/>
    <d v="2022-03-03T00:00:00"/>
    <d v="2022-03-22T00:00:00"/>
    <x v="3"/>
    <n v="9"/>
    <n v="796"/>
    <n v="877.15"/>
    <n v="836.6"/>
    <n v="665933.6"/>
    <n v="698211.4"/>
    <n v="-32277.800000000047"/>
    <n v="-1762.6420240403143"/>
    <n v="-34040.442024040363"/>
    <n v="0"/>
    <n v="0"/>
    <n v="0"/>
    <n v="-34040.442024040363"/>
  </r>
  <r>
    <x v="2"/>
    <d v="2022-04-05T00:00:00"/>
    <d v="2022-04-25T00:00:00"/>
    <x v="3"/>
    <n v="9"/>
    <n v="700"/>
    <n v="877.15"/>
    <n v="836.6"/>
    <n v="585620"/>
    <n v="614005"/>
    <n v="-28385"/>
    <n v="-1550.0620814424874"/>
    <n v="-29935.062081442487"/>
    <n v="0"/>
    <n v="0"/>
    <n v="0"/>
    <n v="-29935.062081442487"/>
  </r>
  <r>
    <x v="3"/>
    <d v="2022-05-04T00:00:00"/>
    <d v="2022-05-24T00:00:00"/>
    <x v="3"/>
    <n v="9"/>
    <n v="549"/>
    <n v="877.15"/>
    <n v="836.6"/>
    <n v="459293.4"/>
    <n v="481555.35"/>
    <n v="-22261.949999999953"/>
    <n v="-1215.6915467313222"/>
    <n v="-23477.641546731276"/>
    <n v="0"/>
    <n v="0"/>
    <n v="0"/>
    <n v="-23477.641546731276"/>
  </r>
  <r>
    <x v="4"/>
    <d v="2022-06-03T00:00:00"/>
    <d v="2022-06-23T00:00:00"/>
    <x v="3"/>
    <n v="9"/>
    <n v="753"/>
    <n v="877.15"/>
    <n v="836.6"/>
    <n v="629959.80000000005"/>
    <n v="660493.94999999995"/>
    <n v="-30534.149999999907"/>
    <n v="-1667.4239247517044"/>
    <n v="-32201.57392475161"/>
    <n v="0"/>
    <n v="0"/>
    <n v="0"/>
    <n v="-32201.57392475161"/>
  </r>
  <r>
    <x v="5"/>
    <d v="2022-07-05T00:00:00"/>
    <d v="2022-07-25T00:00:00"/>
    <x v="3"/>
    <n v="9"/>
    <n v="942"/>
    <n v="877.15"/>
    <n v="836.6"/>
    <n v="788077.20000000007"/>
    <n v="826275.29999999993"/>
    <n v="-38198.09999999986"/>
    <n v="-2085.9406867411763"/>
    <n v="-40284.040686741035"/>
    <n v="0"/>
    <n v="0"/>
    <n v="0"/>
    <n v="-40284.040686741035"/>
  </r>
  <r>
    <x v="6"/>
    <d v="2022-08-03T00:00:00"/>
    <d v="2022-08-23T00:00:00"/>
    <x v="3"/>
    <n v="9"/>
    <n v="1036"/>
    <n v="877.15"/>
    <n v="836.6"/>
    <n v="866717.6"/>
    <n v="908727.4"/>
    <n v="-42009.800000000047"/>
    <n v="-2294.0918805348815"/>
    <n v="-44303.891880534931"/>
    <n v="0"/>
    <n v="0"/>
    <n v="0"/>
    <n v="-44303.891880534931"/>
  </r>
  <r>
    <x v="7"/>
    <d v="2022-09-05T00:00:00"/>
    <d v="2022-09-23T00:00:00"/>
    <x v="3"/>
    <n v="9"/>
    <n v="954"/>
    <n v="877.15"/>
    <n v="836.6"/>
    <n v="798116.4"/>
    <n v="836801.1"/>
    <n v="-38684.699999999953"/>
    <n v="-2112.513179565904"/>
    <n v="-40797.213179565857"/>
    <n v="0"/>
    <n v="0"/>
    <n v="0"/>
    <n v="-40797.213179565857"/>
  </r>
  <r>
    <x v="8"/>
    <d v="2022-10-05T00:00:00"/>
    <d v="2022-10-25T00:00:00"/>
    <x v="3"/>
    <n v="9"/>
    <n v="860"/>
    <n v="877.15"/>
    <n v="836.6"/>
    <n v="719476"/>
    <n v="754349"/>
    <n v="-34873"/>
    <n v="-1904.361985772199"/>
    <n v="-36777.361985772201"/>
    <n v="0"/>
    <n v="0"/>
    <n v="0"/>
    <n v="-36777.361985772201"/>
  </r>
  <r>
    <x v="9"/>
    <d v="2022-11-03T00:00:00"/>
    <d v="2022-11-23T00:00:00"/>
    <x v="3"/>
    <n v="9"/>
    <n v="589"/>
    <n v="877.15"/>
    <n v="836.6"/>
    <n v="492757.4"/>
    <n v="516641.35"/>
    <n v="-23883.949999999953"/>
    <n v="-1304.26652281375"/>
    <n v="-25188.216522813702"/>
    <n v="0"/>
    <n v="0"/>
    <n v="0"/>
    <n v="-25188.216522813702"/>
  </r>
  <r>
    <x v="10"/>
    <d v="2022-12-05T00:00:00"/>
    <d v="2022-12-23T00:00:00"/>
    <x v="3"/>
    <n v="9"/>
    <n v="730"/>
    <n v="877.15"/>
    <n v="836.6"/>
    <n v="610718"/>
    <n v="640319.5"/>
    <n v="-29601.5"/>
    <n v="-1616.4933135043084"/>
    <n v="-31217.99331350431"/>
    <n v="0"/>
    <n v="0"/>
    <n v="0"/>
    <n v="-31217.99331350431"/>
  </r>
  <r>
    <x v="11"/>
    <d v="2023-01-04T00:00:00"/>
    <d v="2023-01-24T00:00:00"/>
    <x v="3"/>
    <n v="9"/>
    <n v="1123"/>
    <n v="877.15"/>
    <n v="836.6"/>
    <n v="939501.8"/>
    <n v="985039.45"/>
    <n v="-45537.649999999907"/>
    <n v="-2486.7424535141618"/>
    <n v="-48024.392453514069"/>
    <n v="0"/>
    <n v="0"/>
    <n v="0"/>
    <n v="-48024.392453514069"/>
  </r>
  <r>
    <x v="0"/>
    <d v="2022-02-03T00:00:00"/>
    <d v="2022-02-23T00:00:00"/>
    <x v="4"/>
    <n v="9"/>
    <n v="48"/>
    <n v="877.15"/>
    <n v="836.6"/>
    <n v="40156.800000000003"/>
    <n v="42103.199999999997"/>
    <n v="-1946.3999999999942"/>
    <n v="-106.28997129891341"/>
    <n v="-2052.6899712989075"/>
    <n v="0"/>
    <n v="0"/>
    <n v="0"/>
    <n v="-2052.6899712989075"/>
  </r>
  <r>
    <x v="1"/>
    <d v="2022-03-03T00:00:00"/>
    <d v="2022-03-22T00:00:00"/>
    <x v="4"/>
    <n v="9"/>
    <n v="45"/>
    <n v="877.15"/>
    <n v="836.6"/>
    <n v="37647"/>
    <n v="39471.75"/>
    <n v="-1824.75"/>
    <n v="-99.646848092731332"/>
    <n v="-1924.3968480927313"/>
    <n v="0"/>
    <n v="0"/>
    <n v="0"/>
    <n v="-1924.3968480927313"/>
  </r>
  <r>
    <x v="2"/>
    <d v="2022-04-05T00:00:00"/>
    <d v="2022-04-25T00:00:00"/>
    <x v="4"/>
    <n v="9"/>
    <n v="38"/>
    <n v="877.15"/>
    <n v="836.6"/>
    <n v="31790.799999999999"/>
    <n v="33331.699999999997"/>
    <n v="-1540.8999999999978"/>
    <n v="-84.146227278306455"/>
    <n v="-1625.0462272783043"/>
    <n v="0"/>
    <n v="0"/>
    <n v="0"/>
    <n v="-1625.0462272783043"/>
  </r>
  <r>
    <x v="3"/>
    <d v="2022-05-04T00:00:00"/>
    <d v="2022-05-24T00:00:00"/>
    <x v="4"/>
    <n v="9"/>
    <n v="26"/>
    <n v="877.15"/>
    <n v="836.6"/>
    <n v="21751.600000000002"/>
    <n v="22805.899999999998"/>
    <n v="-1054.2999999999956"/>
    <n v="-57.573734453578098"/>
    <n v="-1111.8737344535737"/>
    <n v="0"/>
    <n v="0"/>
    <n v="0"/>
    <n v="-1111.8737344535737"/>
  </r>
  <r>
    <x v="4"/>
    <d v="2022-06-03T00:00:00"/>
    <d v="2022-06-23T00:00:00"/>
    <x v="4"/>
    <n v="9"/>
    <n v="43"/>
    <n v="877.15"/>
    <n v="836.6"/>
    <n v="35973.800000000003"/>
    <n v="37717.449999999997"/>
    <n v="-1743.6499999999942"/>
    <n v="-95.218099288609949"/>
    <n v="-1838.8680992886041"/>
    <n v="0"/>
    <n v="0"/>
    <n v="0"/>
    <n v="-1838.8680992886041"/>
  </r>
  <r>
    <x v="5"/>
    <d v="2022-07-05T00:00:00"/>
    <d v="2022-07-25T00:00:00"/>
    <x v="4"/>
    <n v="9"/>
    <n v="54"/>
    <n v="877.15"/>
    <n v="836.6"/>
    <n v="45176.4"/>
    <n v="47366.1"/>
    <n v="-2189.6999999999971"/>
    <n v="-119.57621771127761"/>
    <n v="-2309.2762177112745"/>
    <n v="0"/>
    <n v="0"/>
    <n v="0"/>
    <n v="-2309.2762177112745"/>
  </r>
  <r>
    <x v="6"/>
    <d v="2022-08-03T00:00:00"/>
    <d v="2022-08-23T00:00:00"/>
    <x v="4"/>
    <n v="9"/>
    <n v="57"/>
    <n v="877.15"/>
    <n v="836.6"/>
    <n v="47686.200000000004"/>
    <n v="49997.549999999996"/>
    <n v="-2311.3499999999913"/>
    <n v="-126.21934091745969"/>
    <n v="-2437.569340917451"/>
    <n v="0"/>
    <n v="0"/>
    <n v="0"/>
    <n v="-2437.569340917451"/>
  </r>
  <r>
    <x v="7"/>
    <d v="2022-09-05T00:00:00"/>
    <d v="2022-09-23T00:00:00"/>
    <x v="4"/>
    <n v="9"/>
    <n v="54"/>
    <n v="877.15"/>
    <n v="836.6"/>
    <n v="45176.4"/>
    <n v="47366.1"/>
    <n v="-2189.6999999999971"/>
    <n v="-119.57621771127761"/>
    <n v="-2309.2762177112745"/>
    <n v="0"/>
    <n v="0"/>
    <n v="0"/>
    <n v="-2309.2762177112745"/>
  </r>
  <r>
    <x v="8"/>
    <d v="2022-10-05T00:00:00"/>
    <d v="2022-10-25T00:00:00"/>
    <x v="4"/>
    <n v="9"/>
    <n v="53"/>
    <n v="877.15"/>
    <n v="836.6"/>
    <n v="44339.8"/>
    <n v="46488.95"/>
    <n v="-2149.1499999999942"/>
    <n v="-117.36184330921691"/>
    <n v="-2266.5118433092111"/>
    <n v="0"/>
    <n v="0"/>
    <n v="0"/>
    <n v="-2266.5118433092111"/>
  </r>
  <r>
    <x v="9"/>
    <d v="2022-11-03T00:00:00"/>
    <d v="2022-11-23T00:00:00"/>
    <x v="4"/>
    <n v="9"/>
    <n v="31"/>
    <n v="877.15"/>
    <n v="836.6"/>
    <n v="25934.600000000002"/>
    <n v="27191.649999999998"/>
    <n v="-1257.0499999999956"/>
    <n v="-68.645606463881577"/>
    <n v="-1325.6956064638773"/>
    <n v="0"/>
    <n v="0"/>
    <n v="0"/>
    <n v="-1325.6956064638773"/>
  </r>
  <r>
    <x v="10"/>
    <d v="2022-12-05T00:00:00"/>
    <d v="2022-12-23T00:00:00"/>
    <x v="4"/>
    <n v="9"/>
    <n v="38"/>
    <n v="877.15"/>
    <n v="836.6"/>
    <n v="31790.799999999999"/>
    <n v="33331.699999999997"/>
    <n v="-1540.8999999999978"/>
    <n v="-84.146227278306455"/>
    <n v="-1625.0462272783043"/>
    <n v="0"/>
    <n v="0"/>
    <n v="0"/>
    <n v="-1625.0462272783043"/>
  </r>
  <r>
    <x v="11"/>
    <d v="2023-01-04T00:00:00"/>
    <d v="2023-01-24T00:00:00"/>
    <x v="4"/>
    <n v="9"/>
    <n v="58"/>
    <n v="877.15"/>
    <n v="836.6"/>
    <n v="48522.8"/>
    <n v="50874.7"/>
    <n v="-2351.8999999999942"/>
    <n v="-128.43371531952039"/>
    <n v="-2480.3337153195143"/>
    <n v="0"/>
    <n v="0"/>
    <n v="0"/>
    <n v="-2480.3337153195143"/>
  </r>
  <r>
    <x v="0"/>
    <d v="2022-02-03T00:00:00"/>
    <d v="2022-02-23T00:00:00"/>
    <x v="5"/>
    <n v="9"/>
    <n v="50"/>
    <n v="877.15"/>
    <n v="836.6"/>
    <n v="41830"/>
    <n v="43857.5"/>
    <n v="-2027.5"/>
    <n v="-110.71872010303481"/>
    <n v="-2138.2187201030347"/>
    <n v="0"/>
    <n v="0"/>
    <n v="0"/>
    <n v="-2138.2187201030347"/>
  </r>
  <r>
    <x v="1"/>
    <d v="2022-03-03T00:00:00"/>
    <d v="2022-03-22T00:00:00"/>
    <x v="5"/>
    <n v="9"/>
    <n v="49"/>
    <n v="877.15"/>
    <n v="836.6"/>
    <n v="40993.4"/>
    <n v="42980.35"/>
    <n v="-1986.9499999999971"/>
    <n v="-108.50434570097411"/>
    <n v="-2095.4543457009713"/>
    <n v="0"/>
    <n v="0"/>
    <n v="0"/>
    <n v="-2095.4543457009713"/>
  </r>
  <r>
    <x v="2"/>
    <d v="2022-04-05T00:00:00"/>
    <d v="2022-04-25T00:00:00"/>
    <x v="5"/>
    <n v="9"/>
    <n v="45"/>
    <n v="877.15"/>
    <n v="836.6"/>
    <n v="37647"/>
    <n v="39471.75"/>
    <n v="-1824.75"/>
    <n v="-99.646848092731332"/>
    <n v="-1924.3968480927313"/>
    <n v="0"/>
    <n v="0"/>
    <n v="0"/>
    <n v="-1924.3968480927313"/>
  </r>
  <r>
    <x v="3"/>
    <d v="2022-05-04T00:00:00"/>
    <d v="2022-05-24T00:00:00"/>
    <x v="5"/>
    <n v="9"/>
    <n v="34"/>
    <n v="877.15"/>
    <n v="836.6"/>
    <n v="28444.400000000001"/>
    <n v="29823.1"/>
    <n v="-1378.6999999999971"/>
    <n v="-75.288729670063674"/>
    <n v="-1453.9887296700608"/>
    <n v="0"/>
    <n v="0"/>
    <n v="0"/>
    <n v="-1453.9887296700608"/>
  </r>
  <r>
    <x v="4"/>
    <d v="2022-06-03T00:00:00"/>
    <d v="2022-06-23T00:00:00"/>
    <x v="5"/>
    <n v="9"/>
    <n v="42"/>
    <n v="877.15"/>
    <n v="836.6"/>
    <n v="35137.200000000004"/>
    <n v="36840.299999999996"/>
    <n v="-1703.0999999999913"/>
    <n v="-93.00372488654925"/>
    <n v="-1796.1037248865405"/>
    <n v="0"/>
    <n v="0"/>
    <n v="0"/>
    <n v="-1796.1037248865405"/>
  </r>
  <r>
    <x v="5"/>
    <d v="2022-07-05T00:00:00"/>
    <d v="2022-07-25T00:00:00"/>
    <x v="5"/>
    <n v="9"/>
    <n v="49"/>
    <n v="877.15"/>
    <n v="836.6"/>
    <n v="40993.4"/>
    <n v="42980.35"/>
    <n v="-1986.9499999999971"/>
    <n v="-108.50434570097411"/>
    <n v="-2095.4543457009713"/>
    <n v="0"/>
    <n v="0"/>
    <n v="0"/>
    <n v="-2095.4543457009713"/>
  </r>
  <r>
    <x v="6"/>
    <d v="2022-08-03T00:00:00"/>
    <d v="2022-08-23T00:00:00"/>
    <x v="5"/>
    <n v="9"/>
    <n v="54"/>
    <n v="877.15"/>
    <n v="836.6"/>
    <n v="45176.4"/>
    <n v="47366.1"/>
    <n v="-2189.6999999999971"/>
    <n v="-119.57621771127761"/>
    <n v="-2309.2762177112745"/>
    <n v="0"/>
    <n v="0"/>
    <n v="0"/>
    <n v="-2309.2762177112745"/>
  </r>
  <r>
    <x v="7"/>
    <d v="2022-09-05T00:00:00"/>
    <d v="2022-09-23T00:00:00"/>
    <x v="5"/>
    <n v="9"/>
    <n v="47"/>
    <n v="877.15"/>
    <n v="836.6"/>
    <n v="39320.200000000004"/>
    <n v="41226.049999999996"/>
    <n v="-1905.8499999999913"/>
    <n v="-104.07559689685273"/>
    <n v="-2009.9255968968439"/>
    <n v="0"/>
    <n v="0"/>
    <n v="0"/>
    <n v="-2009.9255968968439"/>
  </r>
  <r>
    <x v="8"/>
    <d v="2022-10-05T00:00:00"/>
    <d v="2022-10-25T00:00:00"/>
    <x v="5"/>
    <n v="9"/>
    <n v="47"/>
    <n v="877.15"/>
    <n v="836.6"/>
    <n v="39320.200000000004"/>
    <n v="41226.049999999996"/>
    <n v="-1905.8499999999913"/>
    <n v="-104.07559689685273"/>
    <n v="-2009.9255968968439"/>
    <n v="0"/>
    <n v="0"/>
    <n v="0"/>
    <n v="-2009.9255968968439"/>
  </r>
  <r>
    <x v="9"/>
    <d v="2022-11-03T00:00:00"/>
    <d v="2022-11-23T00:00:00"/>
    <x v="5"/>
    <n v="9"/>
    <n v="39"/>
    <n v="877.15"/>
    <n v="836.6"/>
    <n v="32627.4"/>
    <n v="34208.85"/>
    <n v="-1581.4499999999971"/>
    <n v="-86.360601680367154"/>
    <n v="-1667.8106016803642"/>
    <n v="0"/>
    <n v="0"/>
    <n v="0"/>
    <n v="-1667.8106016803642"/>
  </r>
  <r>
    <x v="10"/>
    <d v="2022-12-05T00:00:00"/>
    <d v="2022-12-23T00:00:00"/>
    <x v="5"/>
    <n v="9"/>
    <n v="45"/>
    <n v="877.15"/>
    <n v="836.6"/>
    <n v="37647"/>
    <n v="39471.75"/>
    <n v="-1824.75"/>
    <n v="-99.646848092731332"/>
    <n v="-1924.3968480927313"/>
    <n v="0"/>
    <n v="0"/>
    <n v="0"/>
    <n v="-1924.3968480927313"/>
  </r>
  <r>
    <x v="11"/>
    <d v="2023-01-04T00:00:00"/>
    <d v="2023-01-24T00:00:00"/>
    <x v="5"/>
    <n v="9"/>
    <n v="61"/>
    <n v="877.15"/>
    <n v="836.6"/>
    <n v="51032.6"/>
    <n v="53506.15"/>
    <n v="-2473.5500000000029"/>
    <n v="-135.07683852570247"/>
    <n v="-2608.6268385257054"/>
    <n v="0"/>
    <n v="0"/>
    <n v="0"/>
    <n v="-2608.6268385257054"/>
  </r>
  <r>
    <x v="0"/>
    <d v="2022-02-03T00:00:00"/>
    <d v="2022-02-23T00:00:00"/>
    <x v="6"/>
    <n v="9"/>
    <n v="92"/>
    <n v="877.15"/>
    <n v="836.6"/>
    <n v="76967.199999999997"/>
    <n v="80697.8"/>
    <n v="-3730.6000000000058"/>
    <n v="-203.72244498958406"/>
    <n v="-3934.3224449895897"/>
    <n v="0"/>
    <n v="0"/>
    <n v="0"/>
    <n v="-3934.3224449895897"/>
  </r>
  <r>
    <x v="1"/>
    <d v="2022-03-03T00:00:00"/>
    <d v="2022-03-22T00:00:00"/>
    <x v="6"/>
    <n v="9"/>
    <n v="88"/>
    <n v="877.15"/>
    <n v="836.6"/>
    <n v="73620.800000000003"/>
    <n v="77189.2"/>
    <n v="-3568.3999999999942"/>
    <n v="-194.86494738134127"/>
    <n v="-3763.2649473813353"/>
    <n v="0"/>
    <n v="0"/>
    <n v="0"/>
    <n v="-3763.2649473813353"/>
  </r>
  <r>
    <x v="2"/>
    <d v="2022-04-05T00:00:00"/>
    <d v="2022-04-25T00:00:00"/>
    <x v="6"/>
    <n v="9"/>
    <n v="71"/>
    <n v="877.15"/>
    <n v="836.6"/>
    <n v="59398.6"/>
    <n v="62277.65"/>
    <n v="-2879.0500000000029"/>
    <n v="-157.22058254630943"/>
    <n v="-3036.2705825463122"/>
    <n v="0"/>
    <n v="0"/>
    <n v="0"/>
    <n v="-3036.2705825463122"/>
  </r>
  <r>
    <x v="3"/>
    <d v="2022-05-04T00:00:00"/>
    <d v="2022-05-24T00:00:00"/>
    <x v="6"/>
    <n v="9"/>
    <n v="76"/>
    <n v="877.15"/>
    <n v="836.6"/>
    <n v="63581.599999999999"/>
    <n v="66663.399999999994"/>
    <n v="-3081.7999999999956"/>
    <n v="-168.29245455661291"/>
    <n v="-3250.0924545566086"/>
    <n v="0"/>
    <n v="0"/>
    <n v="0"/>
    <n v="-3250.0924545566086"/>
  </r>
  <r>
    <x v="4"/>
    <d v="2022-06-03T00:00:00"/>
    <d v="2022-06-23T00:00:00"/>
    <x v="6"/>
    <n v="9"/>
    <n v="134"/>
    <n v="877.15"/>
    <n v="836.6"/>
    <n v="112104.40000000001"/>
    <n v="117538.09999999999"/>
    <n v="-5433.6999999999825"/>
    <n v="-296.72616987613333"/>
    <n v="-5730.4261698761156"/>
    <n v="0"/>
    <n v="0"/>
    <n v="0"/>
    <n v="-5730.4261698761156"/>
  </r>
  <r>
    <x v="5"/>
    <d v="2022-07-05T00:00:00"/>
    <d v="2022-07-25T00:00:00"/>
    <x v="6"/>
    <n v="9"/>
    <n v="145"/>
    <n v="877.15"/>
    <n v="836.6"/>
    <n v="121307"/>
    <n v="127186.75"/>
    <n v="-5879.75"/>
    <n v="-321.08428829880097"/>
    <n v="-6200.8342882988009"/>
    <n v="0"/>
    <n v="0"/>
    <n v="0"/>
    <n v="-6200.8342882988009"/>
  </r>
  <r>
    <x v="6"/>
    <d v="2022-08-03T00:00:00"/>
    <d v="2022-08-23T00:00:00"/>
    <x v="6"/>
    <n v="9"/>
    <n v="161"/>
    <n v="877.15"/>
    <n v="836.6"/>
    <n v="134692.6"/>
    <n v="141221.15"/>
    <n v="-6528.5499999999884"/>
    <n v="-356.51427873177209"/>
    <n v="-6885.0642787317602"/>
    <n v="0"/>
    <n v="0"/>
    <n v="0"/>
    <n v="-6885.0642787317602"/>
  </r>
  <r>
    <x v="7"/>
    <d v="2022-09-05T00:00:00"/>
    <d v="2022-09-23T00:00:00"/>
    <x v="6"/>
    <n v="9"/>
    <n v="154"/>
    <n v="877.15"/>
    <n v="836.6"/>
    <n v="128836.40000000001"/>
    <n v="135081.1"/>
    <n v="-6244.6999999999971"/>
    <n v="-341.01365791734725"/>
    <n v="-6585.7136579173439"/>
    <n v="0"/>
    <n v="0"/>
    <n v="0"/>
    <n v="-6585.7136579173439"/>
  </r>
  <r>
    <x v="8"/>
    <d v="2022-10-05T00:00:00"/>
    <d v="2022-10-25T00:00:00"/>
    <x v="6"/>
    <n v="9"/>
    <n v="132"/>
    <n v="877.15"/>
    <n v="836.6"/>
    <n v="110431.2"/>
    <n v="115783.8"/>
    <n v="-5352.6000000000058"/>
    <n v="-292.2974210720119"/>
    <n v="-5644.897421072018"/>
    <n v="0"/>
    <n v="0"/>
    <n v="0"/>
    <n v="-5644.897421072018"/>
  </r>
  <r>
    <x v="9"/>
    <d v="2022-11-03T00:00:00"/>
    <d v="2022-11-23T00:00:00"/>
    <x v="6"/>
    <n v="9"/>
    <n v="91"/>
    <n v="877.15"/>
    <n v="836.6"/>
    <n v="76130.600000000006"/>
    <n v="79820.649999999994"/>
    <n v="-3690.0499999999884"/>
    <n v="-201.50807058752335"/>
    <n v="-3891.5580705875118"/>
    <n v="0"/>
    <n v="0"/>
    <n v="0"/>
    <n v="-3891.5580705875118"/>
  </r>
  <r>
    <x v="10"/>
    <d v="2022-12-05T00:00:00"/>
    <d v="2022-12-23T00:00:00"/>
    <x v="6"/>
    <n v="9"/>
    <n v="67"/>
    <n v="877.15"/>
    <n v="836.6"/>
    <n v="56052.200000000004"/>
    <n v="58769.049999999996"/>
    <n v="-2716.8499999999913"/>
    <n v="-148.36308493806666"/>
    <n v="-2865.2130849380578"/>
    <n v="0"/>
    <n v="0"/>
    <n v="0"/>
    <n v="-2865.2130849380578"/>
  </r>
  <r>
    <x v="11"/>
    <d v="2023-01-04T00:00:00"/>
    <d v="2023-01-24T00:00:00"/>
    <x v="6"/>
    <n v="9"/>
    <n v="96"/>
    <n v="877.15"/>
    <n v="836.6"/>
    <n v="80313.600000000006"/>
    <n v="84206.399999999994"/>
    <n v="-3892.7999999999884"/>
    <n v="-212.57994259782683"/>
    <n v="-4105.379942597815"/>
    <n v="0"/>
    <n v="0"/>
    <n v="0"/>
    <n v="-4105.379942597815"/>
  </r>
  <r>
    <x v="0"/>
    <d v="2022-02-03T00:00:00"/>
    <d v="2022-02-23T00:00:00"/>
    <x v="7"/>
    <n v="9"/>
    <n v="42"/>
    <n v="877.15"/>
    <n v="836.6"/>
    <n v="35137.200000000004"/>
    <n v="36840.299999999996"/>
    <n v="-1703.0999999999913"/>
    <n v="-93.00372488654925"/>
    <n v="-1796.1037248865405"/>
    <n v="0"/>
    <n v="0"/>
    <n v="0"/>
    <n v="-1796.1037248865405"/>
  </r>
  <r>
    <x v="1"/>
    <d v="2022-03-03T00:00:00"/>
    <d v="2022-03-22T00:00:00"/>
    <x v="7"/>
    <n v="9"/>
    <n v="43"/>
    <n v="877.15"/>
    <n v="836.6"/>
    <n v="35973.800000000003"/>
    <n v="37717.449999999997"/>
    <n v="-1743.6499999999942"/>
    <n v="-95.218099288609949"/>
    <n v="-1838.8680992886041"/>
    <n v="0"/>
    <n v="0"/>
    <n v="0"/>
    <n v="-1838.8680992886041"/>
  </r>
  <r>
    <x v="2"/>
    <d v="2022-04-05T00:00:00"/>
    <d v="2022-04-25T00:00:00"/>
    <x v="7"/>
    <n v="9"/>
    <n v="42"/>
    <n v="877.15"/>
    <n v="836.6"/>
    <n v="35137.200000000004"/>
    <n v="36840.299999999996"/>
    <n v="-1703.0999999999913"/>
    <n v="-93.00372488654925"/>
    <n v="-1796.1037248865405"/>
    <n v="0"/>
    <n v="0"/>
    <n v="0"/>
    <n v="-1796.1037248865405"/>
  </r>
  <r>
    <x v="3"/>
    <d v="2022-05-04T00:00:00"/>
    <d v="2022-05-24T00:00:00"/>
    <x v="7"/>
    <n v="9"/>
    <n v="52"/>
    <n v="877.15"/>
    <n v="836.6"/>
    <n v="43503.200000000004"/>
    <n v="45611.799999999996"/>
    <n v="-2108.5999999999913"/>
    <n v="-115.1474689071562"/>
    <n v="-2223.7474689071473"/>
    <n v="0"/>
    <n v="0"/>
    <n v="0"/>
    <n v="-2223.7474689071473"/>
  </r>
  <r>
    <x v="4"/>
    <d v="2022-06-03T00:00:00"/>
    <d v="2022-06-23T00:00:00"/>
    <x v="7"/>
    <n v="9"/>
    <n v="52"/>
    <n v="877.15"/>
    <n v="836.6"/>
    <n v="43503.200000000004"/>
    <n v="45611.799999999996"/>
    <n v="-2108.5999999999913"/>
    <n v="-115.1474689071562"/>
    <n v="-2223.7474689071473"/>
    <n v="0"/>
    <n v="0"/>
    <n v="0"/>
    <n v="-2223.7474689071473"/>
  </r>
  <r>
    <x v="5"/>
    <d v="2022-07-05T00:00:00"/>
    <d v="2022-07-25T00:00:00"/>
    <x v="7"/>
    <n v="9"/>
    <n v="56"/>
    <n v="877.15"/>
    <n v="836.6"/>
    <n v="46849.599999999999"/>
    <n v="49120.4"/>
    <n v="-2270.8000000000029"/>
    <n v="-124.00496651539898"/>
    <n v="-2394.8049665154017"/>
    <n v="0"/>
    <n v="0"/>
    <n v="0"/>
    <n v="-2394.8049665154017"/>
  </r>
  <r>
    <x v="6"/>
    <d v="2022-08-03T00:00:00"/>
    <d v="2022-08-23T00:00:00"/>
    <x v="7"/>
    <n v="9"/>
    <n v="58"/>
    <n v="877.15"/>
    <n v="836.6"/>
    <n v="48522.8"/>
    <n v="50874.7"/>
    <n v="-2351.8999999999942"/>
    <n v="-128.43371531952039"/>
    <n v="-2480.3337153195143"/>
    <n v="0"/>
    <n v="0"/>
    <n v="0"/>
    <n v="-2480.3337153195143"/>
  </r>
  <r>
    <x v="7"/>
    <d v="2022-09-05T00:00:00"/>
    <d v="2022-09-23T00:00:00"/>
    <x v="7"/>
    <n v="9"/>
    <n v="60"/>
    <n v="877.15"/>
    <n v="836.6"/>
    <n v="50196"/>
    <n v="52629"/>
    <n v="-2433"/>
    <n v="-132.86246412364176"/>
    <n v="-2565.862464123642"/>
    <n v="0"/>
    <n v="0"/>
    <n v="0"/>
    <n v="-2565.862464123642"/>
  </r>
  <r>
    <x v="8"/>
    <d v="2022-10-05T00:00:00"/>
    <d v="2022-10-25T00:00:00"/>
    <x v="7"/>
    <n v="9"/>
    <n v="58"/>
    <n v="877.15"/>
    <n v="836.6"/>
    <n v="48522.8"/>
    <n v="50874.7"/>
    <n v="-2351.8999999999942"/>
    <n v="-128.43371531952039"/>
    <n v="-2480.3337153195143"/>
    <n v="0"/>
    <n v="0"/>
    <n v="0"/>
    <n v="-2480.3337153195143"/>
  </r>
  <r>
    <x v="9"/>
    <d v="2022-11-03T00:00:00"/>
    <d v="2022-11-23T00:00:00"/>
    <x v="7"/>
    <n v="9"/>
    <n v="56"/>
    <n v="877.15"/>
    <n v="836.6"/>
    <n v="46849.599999999999"/>
    <n v="49120.4"/>
    <n v="-2270.8000000000029"/>
    <n v="-124.00496651539898"/>
    <n v="-2394.8049665154017"/>
    <n v="0"/>
    <n v="0"/>
    <n v="0"/>
    <n v="-2394.8049665154017"/>
  </r>
  <r>
    <x v="10"/>
    <d v="2022-12-05T00:00:00"/>
    <d v="2022-12-23T00:00:00"/>
    <x v="7"/>
    <n v="9"/>
    <n v="59"/>
    <n v="877.15"/>
    <n v="836.6"/>
    <n v="49359.4"/>
    <n v="51751.85"/>
    <n v="-2392.4499999999971"/>
    <n v="-130.6480897215811"/>
    <n v="-2523.0980897215782"/>
    <n v="0"/>
    <n v="0"/>
    <n v="0"/>
    <n v="-2523.0980897215782"/>
  </r>
  <r>
    <x v="11"/>
    <d v="2023-01-04T00:00:00"/>
    <d v="2023-01-24T00:00:00"/>
    <x v="7"/>
    <n v="9"/>
    <n v="58"/>
    <n v="877.15"/>
    <n v="836.6"/>
    <n v="48522.8"/>
    <n v="50874.7"/>
    <n v="-2351.8999999999942"/>
    <n v="-128.43371531952039"/>
    <n v="-2480.3337153195143"/>
    <n v="0"/>
    <n v="0"/>
    <n v="0"/>
    <n v="-2480.3337153195143"/>
  </r>
  <r>
    <x v="0"/>
    <d v="2022-02-03T00:00:00"/>
    <d v="2022-02-23T00:00:00"/>
    <x v="8"/>
    <n v="9"/>
    <n v="1045"/>
    <n v="877.15"/>
    <n v="836.6"/>
    <n v="874247"/>
    <n v="916621.75"/>
    <n v="-42374.75"/>
    <n v="-2314.0212501534279"/>
    <n v="-44688.771250153426"/>
    <n v="0"/>
    <n v="0"/>
    <n v="0"/>
    <n v="-44688.771250153426"/>
  </r>
  <r>
    <x v="1"/>
    <d v="2022-03-03T00:00:00"/>
    <d v="2022-03-22T00:00:00"/>
    <x v="8"/>
    <n v="9"/>
    <n v="1114"/>
    <n v="877.15"/>
    <n v="836.6"/>
    <n v="931972.4"/>
    <n v="977145.1"/>
    <n v="-45172.699999999953"/>
    <n v="-2466.8130838956158"/>
    <n v="-47639.513083895567"/>
    <n v="0"/>
    <n v="0"/>
    <n v="0"/>
    <n v="-47639.513083895567"/>
  </r>
  <r>
    <x v="2"/>
    <d v="2022-04-05T00:00:00"/>
    <d v="2022-04-25T00:00:00"/>
    <x v="8"/>
    <n v="9"/>
    <n v="977"/>
    <n v="877.15"/>
    <n v="836.6"/>
    <n v="817358.20000000007"/>
    <n v="856975.54999999993"/>
    <n v="-39617.34999999986"/>
    <n v="-2163.4437908133"/>
    <n v="-41780.793790813157"/>
    <n v="0"/>
    <n v="0"/>
    <n v="0"/>
    <n v="-41780.793790813157"/>
  </r>
  <r>
    <x v="3"/>
    <d v="2022-05-04T00:00:00"/>
    <d v="2022-05-24T00:00:00"/>
    <x v="8"/>
    <n v="9"/>
    <n v="539"/>
    <n v="877.15"/>
    <n v="836.6"/>
    <n v="450927.4"/>
    <n v="472783.85"/>
    <n v="-21856.449999999953"/>
    <n v="-1193.5478027107154"/>
    <n v="-23049.99780271067"/>
    <n v="0"/>
    <n v="0"/>
    <n v="0"/>
    <n v="-23049.99780271067"/>
  </r>
  <r>
    <x v="4"/>
    <d v="2022-06-03T00:00:00"/>
    <d v="2022-06-23T00:00:00"/>
    <x v="8"/>
    <n v="9"/>
    <n v="754"/>
    <n v="877.15"/>
    <n v="836.6"/>
    <n v="630796.4"/>
    <n v="661371.1"/>
    <n v="-30574.699999999953"/>
    <n v="-1669.638299153765"/>
    <n v="-32244.338299153718"/>
    <n v="0"/>
    <n v="0"/>
    <n v="0"/>
    <n v="-32244.338299153718"/>
  </r>
  <r>
    <x v="5"/>
    <d v="2022-07-05T00:00:00"/>
    <d v="2022-07-25T00:00:00"/>
    <x v="8"/>
    <n v="9"/>
    <n v="946"/>
    <n v="877.15"/>
    <n v="836.6"/>
    <n v="791423.6"/>
    <n v="829783.9"/>
    <n v="-38360.300000000047"/>
    <n v="-2094.798184349419"/>
    <n v="-40455.098184349466"/>
    <n v="0"/>
    <n v="0"/>
    <n v="0"/>
    <n v="-40455.098184349466"/>
  </r>
  <r>
    <x v="6"/>
    <d v="2022-08-03T00:00:00"/>
    <d v="2022-08-23T00:00:00"/>
    <x v="8"/>
    <n v="9"/>
    <n v="979"/>
    <n v="877.15"/>
    <n v="836.6"/>
    <n v="819031.4"/>
    <n v="858729.85"/>
    <n v="-39698.449999999953"/>
    <n v="-2167.8725396174214"/>
    <n v="-41866.322539617373"/>
    <n v="0"/>
    <n v="0"/>
    <n v="0"/>
    <n v="-41866.322539617373"/>
  </r>
  <r>
    <x v="7"/>
    <d v="2022-09-05T00:00:00"/>
    <d v="2022-09-23T00:00:00"/>
    <x v="8"/>
    <n v="9"/>
    <n v="973"/>
    <n v="877.15"/>
    <n v="836.6"/>
    <n v="814011.8"/>
    <n v="853466.95"/>
    <n v="-39455.149999999907"/>
    <n v="-2154.5862932050572"/>
    <n v="-41609.736293204965"/>
    <n v="0"/>
    <n v="0"/>
    <n v="0"/>
    <n v="-41609.736293204965"/>
  </r>
  <r>
    <x v="8"/>
    <d v="2022-10-05T00:00:00"/>
    <d v="2022-10-25T00:00:00"/>
    <x v="8"/>
    <n v="9"/>
    <n v="847"/>
    <n v="877.15"/>
    <n v="836.6"/>
    <n v="708600.20000000007"/>
    <n v="742946.04999999993"/>
    <n v="-34345.84999999986"/>
    <n v="-1875.5751185454099"/>
    <n v="-36221.425118545267"/>
    <n v="0"/>
    <n v="0"/>
    <n v="0"/>
    <n v="-36221.425118545267"/>
  </r>
  <r>
    <x v="9"/>
    <d v="2022-11-03T00:00:00"/>
    <d v="2022-11-23T00:00:00"/>
    <x v="8"/>
    <n v="9"/>
    <n v="609"/>
    <n v="877.15"/>
    <n v="836.6"/>
    <n v="509489.4"/>
    <n v="534184.35"/>
    <n v="-24694.949999999953"/>
    <n v="-1348.554010854964"/>
    <n v="-26043.504010854918"/>
    <n v="0"/>
    <n v="0"/>
    <n v="0"/>
    <n v="-26043.504010854918"/>
  </r>
  <r>
    <x v="10"/>
    <d v="2022-12-05T00:00:00"/>
    <d v="2022-12-23T00:00:00"/>
    <x v="8"/>
    <n v="9"/>
    <n v="807"/>
    <n v="877.15"/>
    <n v="836.6"/>
    <n v="675136.20000000007"/>
    <n v="707860.04999999993"/>
    <n v="-32723.84999999986"/>
    <n v="-1787.0001424629818"/>
    <n v="-34510.850142462841"/>
    <n v="0"/>
    <n v="0"/>
    <n v="0"/>
    <n v="-34510.850142462841"/>
  </r>
  <r>
    <x v="11"/>
    <d v="2023-01-04T00:00:00"/>
    <d v="2023-01-24T00:00:00"/>
    <x v="8"/>
    <n v="9"/>
    <n v="1434"/>
    <n v="877.15"/>
    <n v="836.6"/>
    <n v="1199684.4000000001"/>
    <n v="1257833.0999999999"/>
    <n v="-58148.699999999721"/>
    <n v="-3175.4128925550385"/>
    <n v="-61324.11289255476"/>
    <n v="0"/>
    <n v="0"/>
    <n v="0"/>
    <n v="-61324.11289255476"/>
  </r>
  <r>
    <x v="0"/>
    <d v="2022-02-03T00:00:00"/>
    <d v="2022-02-23T00:00:00"/>
    <x v="9"/>
    <n v="9"/>
    <n v="8"/>
    <n v="877.15"/>
    <n v="836.6"/>
    <n v="6692.8"/>
    <n v="7017.2"/>
    <n v="-324.39999999999964"/>
    <n v="-17.714995216485573"/>
    <n v="-342.11499521648523"/>
    <n v="0"/>
    <n v="0"/>
    <n v="0"/>
    <n v="-342.11499521648523"/>
  </r>
  <r>
    <x v="1"/>
    <d v="2022-03-03T00:00:00"/>
    <d v="2022-03-22T00:00:00"/>
    <x v="9"/>
    <n v="9"/>
    <n v="7"/>
    <n v="877.15"/>
    <n v="836.6"/>
    <n v="5856.2"/>
    <n v="6140.05"/>
    <n v="-283.85000000000036"/>
    <n v="-15.500620814424872"/>
    <n v="-299.35062081442521"/>
    <n v="0"/>
    <n v="0"/>
    <n v="0"/>
    <n v="-299.35062081442521"/>
  </r>
  <r>
    <x v="2"/>
    <d v="2022-04-05T00:00:00"/>
    <d v="2022-04-25T00:00:00"/>
    <x v="9"/>
    <n v="9"/>
    <n v="5"/>
    <n v="877.15"/>
    <n v="836.6"/>
    <n v="4183"/>
    <n v="4385.75"/>
    <n v="-202.75"/>
    <n v="-11.071872010303482"/>
    <n v="-213.82187201030348"/>
    <n v="0"/>
    <n v="0"/>
    <n v="0"/>
    <n v="-213.82187201030348"/>
  </r>
  <r>
    <x v="3"/>
    <d v="2022-05-04T00:00:00"/>
    <d v="2022-05-24T00:00:00"/>
    <x v="9"/>
    <n v="9"/>
    <n v="7"/>
    <n v="877.15"/>
    <n v="836.6"/>
    <n v="5856.2"/>
    <n v="6140.05"/>
    <n v="-283.85000000000036"/>
    <n v="-15.500620814424872"/>
    <n v="-299.35062081442521"/>
    <n v="0"/>
    <n v="0"/>
    <n v="0"/>
    <n v="-299.35062081442521"/>
  </r>
  <r>
    <x v="4"/>
    <d v="2022-06-03T00:00:00"/>
    <d v="2022-06-23T00:00:00"/>
    <x v="9"/>
    <n v="9"/>
    <n v="10"/>
    <n v="877.15"/>
    <n v="836.6"/>
    <n v="8366"/>
    <n v="8771.5"/>
    <n v="-405.5"/>
    <n v="-22.143744020606963"/>
    <n v="-427.64374402060696"/>
    <n v="0"/>
    <n v="0"/>
    <n v="0"/>
    <n v="-427.64374402060696"/>
  </r>
  <r>
    <x v="5"/>
    <d v="2022-07-05T00:00:00"/>
    <d v="2022-07-25T00:00:00"/>
    <x v="9"/>
    <n v="9"/>
    <n v="14"/>
    <n v="877.15"/>
    <n v="836.6"/>
    <n v="11712.4"/>
    <n v="12280.1"/>
    <n v="-567.70000000000073"/>
    <n v="-31.001241628849744"/>
    <n v="-598.70124162885043"/>
    <n v="0"/>
    <n v="0"/>
    <n v="0"/>
    <n v="-598.70124162885043"/>
  </r>
  <r>
    <x v="6"/>
    <d v="2022-08-03T00:00:00"/>
    <d v="2022-08-23T00:00:00"/>
    <x v="9"/>
    <n v="9"/>
    <n v="18"/>
    <n v="877.15"/>
    <n v="836.6"/>
    <n v="15058.800000000001"/>
    <n v="15788.699999999999"/>
    <n v="-729.89999999999782"/>
    <n v="-39.858739237092536"/>
    <n v="-769.75873923709037"/>
    <n v="0"/>
    <n v="0"/>
    <n v="0"/>
    <n v="-769.75873923709037"/>
  </r>
  <r>
    <x v="7"/>
    <d v="2022-09-05T00:00:00"/>
    <d v="2022-09-23T00:00:00"/>
    <x v="9"/>
    <n v="9"/>
    <n v="16"/>
    <n v="877.15"/>
    <n v="836.6"/>
    <n v="13385.6"/>
    <n v="14034.4"/>
    <n v="-648.79999999999927"/>
    <n v="-35.429990432971145"/>
    <n v="-684.22999043297045"/>
    <n v="0"/>
    <n v="0"/>
    <n v="0"/>
    <n v="-684.22999043297045"/>
  </r>
  <r>
    <x v="8"/>
    <d v="2022-10-05T00:00:00"/>
    <d v="2022-10-25T00:00:00"/>
    <x v="9"/>
    <n v="9"/>
    <n v="9"/>
    <n v="877.15"/>
    <n v="836.6"/>
    <n v="7529.4000000000005"/>
    <n v="7894.3499999999995"/>
    <n v="-364.94999999999891"/>
    <n v="-19.929369618546268"/>
    <n v="-384.87936961854518"/>
    <n v="0"/>
    <n v="0"/>
    <n v="0"/>
    <n v="-384.87936961854518"/>
  </r>
  <r>
    <x v="9"/>
    <d v="2022-11-03T00:00:00"/>
    <d v="2022-11-23T00:00:00"/>
    <x v="9"/>
    <n v="9"/>
    <n v="6"/>
    <n v="877.15"/>
    <n v="836.6"/>
    <n v="5019.6000000000004"/>
    <n v="5262.9"/>
    <n v="-243.29999999999927"/>
    <n v="-13.286246412364177"/>
    <n v="-256.58624641236344"/>
    <n v="0"/>
    <n v="0"/>
    <n v="0"/>
    <n v="-256.58624641236344"/>
  </r>
  <r>
    <x v="10"/>
    <d v="2022-12-05T00:00:00"/>
    <d v="2022-12-23T00:00:00"/>
    <x v="9"/>
    <n v="9"/>
    <n v="6"/>
    <n v="877.15"/>
    <n v="836.6"/>
    <n v="5019.6000000000004"/>
    <n v="5262.9"/>
    <n v="-243.29999999999927"/>
    <n v="-13.286246412364177"/>
    <n v="-256.58624641236344"/>
    <n v="0"/>
    <n v="0"/>
    <n v="0"/>
    <n v="-256.58624641236344"/>
  </r>
  <r>
    <x v="11"/>
    <d v="2023-01-04T00:00:00"/>
    <d v="2023-01-24T00:00:00"/>
    <x v="9"/>
    <n v="9"/>
    <n v="8"/>
    <n v="877.15"/>
    <n v="836.6"/>
    <n v="6692.8"/>
    <n v="7017.2"/>
    <n v="-324.39999999999964"/>
    <n v="-17.714995216485573"/>
    <n v="-342.11499521648523"/>
    <n v="0"/>
    <n v="0"/>
    <n v="0"/>
    <n v="-342.11499521648523"/>
  </r>
  <r>
    <x v="0"/>
    <d v="2022-02-03T00:00:00"/>
    <d v="2022-02-23T00:00:00"/>
    <x v="10"/>
    <n v="9"/>
    <n v="3"/>
    <n v="877.15"/>
    <n v="836.6"/>
    <n v="2509.8000000000002"/>
    <n v="2631.45"/>
    <n v="-121.64999999999964"/>
    <n v="-6.6431232061820884"/>
    <n v="-128.29312320618172"/>
    <n v="0"/>
    <n v="0"/>
    <n v="0"/>
    <n v="-128.29312320618172"/>
  </r>
  <r>
    <x v="1"/>
    <d v="2022-03-03T00:00:00"/>
    <d v="2022-03-22T00:00:00"/>
    <x v="10"/>
    <n v="9"/>
    <n v="2"/>
    <n v="877.15"/>
    <n v="836.6"/>
    <n v="1673.2"/>
    <n v="1754.3"/>
    <n v="-81.099999999999909"/>
    <n v="-4.4287488041213932"/>
    <n v="-85.528748804121307"/>
    <n v="0"/>
    <n v="0"/>
    <n v="0"/>
    <n v="-85.528748804121307"/>
  </r>
  <r>
    <x v="2"/>
    <d v="2022-04-05T00:00:00"/>
    <d v="2022-04-25T00:00:00"/>
    <x v="10"/>
    <n v="9"/>
    <n v="3"/>
    <n v="877.15"/>
    <n v="836.6"/>
    <n v="2509.8000000000002"/>
    <n v="2631.45"/>
    <n v="-121.64999999999964"/>
    <n v="-6.6431232061820884"/>
    <n v="-128.29312320618172"/>
    <n v="0"/>
    <n v="0"/>
    <n v="0"/>
    <n v="-128.29312320618172"/>
  </r>
  <r>
    <x v="3"/>
    <d v="2022-05-04T00:00:00"/>
    <d v="2022-05-24T00:00:00"/>
    <x v="10"/>
    <n v="9"/>
    <n v="2"/>
    <n v="877.15"/>
    <n v="836.6"/>
    <n v="1673.2"/>
    <n v="1754.3"/>
    <n v="-81.099999999999909"/>
    <n v="-4.4287488041213932"/>
    <n v="-85.528748804121307"/>
    <n v="0"/>
    <n v="0"/>
    <n v="0"/>
    <n v="-85.528748804121307"/>
  </r>
  <r>
    <x v="4"/>
    <d v="2022-06-03T00:00:00"/>
    <d v="2022-06-23T00:00:00"/>
    <x v="10"/>
    <n v="9"/>
    <n v="3"/>
    <n v="877.15"/>
    <n v="836.6"/>
    <n v="2509.8000000000002"/>
    <n v="2631.45"/>
    <n v="-121.64999999999964"/>
    <n v="-6.6431232061820884"/>
    <n v="-128.29312320618172"/>
    <n v="0"/>
    <n v="0"/>
    <n v="0"/>
    <n v="-128.29312320618172"/>
  </r>
  <r>
    <x v="5"/>
    <d v="2022-07-05T00:00:00"/>
    <d v="2022-07-25T00:00:00"/>
    <x v="10"/>
    <n v="9"/>
    <n v="5"/>
    <n v="877.15"/>
    <n v="836.6"/>
    <n v="4183"/>
    <n v="4385.75"/>
    <n v="-202.75"/>
    <n v="-11.071872010303482"/>
    <n v="-213.82187201030348"/>
    <n v="0"/>
    <n v="0"/>
    <n v="0"/>
    <n v="-213.82187201030348"/>
  </r>
  <r>
    <x v="6"/>
    <d v="2022-08-03T00:00:00"/>
    <d v="2022-08-23T00:00:00"/>
    <x v="10"/>
    <n v="9"/>
    <n v="6"/>
    <n v="877.15"/>
    <n v="836.6"/>
    <n v="5019.6000000000004"/>
    <n v="5262.9"/>
    <n v="-243.29999999999927"/>
    <n v="-13.286246412364177"/>
    <n v="-256.58624641236344"/>
    <n v="0"/>
    <n v="0"/>
    <n v="0"/>
    <n v="-256.58624641236344"/>
  </r>
  <r>
    <x v="7"/>
    <d v="2022-09-05T00:00:00"/>
    <d v="2022-09-23T00:00:00"/>
    <x v="10"/>
    <n v="9"/>
    <n v="6"/>
    <n v="877.15"/>
    <n v="836.6"/>
    <n v="5019.6000000000004"/>
    <n v="5262.9"/>
    <n v="-243.29999999999927"/>
    <n v="-13.286246412364177"/>
    <n v="-256.58624641236344"/>
    <n v="0"/>
    <n v="0"/>
    <n v="0"/>
    <n v="-256.58624641236344"/>
  </r>
  <r>
    <x v="8"/>
    <d v="2022-10-05T00:00:00"/>
    <d v="2022-10-25T00:00:00"/>
    <x v="10"/>
    <n v="9"/>
    <n v="3"/>
    <n v="877.15"/>
    <n v="836.6"/>
    <n v="2509.8000000000002"/>
    <n v="2631.45"/>
    <n v="-121.64999999999964"/>
    <n v="-6.6431232061820884"/>
    <n v="-128.29312320618172"/>
    <n v="0"/>
    <n v="0"/>
    <n v="0"/>
    <n v="-128.29312320618172"/>
  </r>
  <r>
    <x v="9"/>
    <d v="2022-11-03T00:00:00"/>
    <d v="2022-11-23T00:00:00"/>
    <x v="10"/>
    <n v="9"/>
    <n v="2"/>
    <n v="877.15"/>
    <n v="836.6"/>
    <n v="1673.2"/>
    <n v="1754.3"/>
    <n v="-81.099999999999909"/>
    <n v="-4.4287488041213932"/>
    <n v="-85.528748804121307"/>
    <n v="0"/>
    <n v="0"/>
    <n v="0"/>
    <n v="-85.528748804121307"/>
  </r>
  <r>
    <x v="10"/>
    <d v="2022-12-05T00:00:00"/>
    <d v="2022-12-23T00:00:00"/>
    <x v="10"/>
    <n v="9"/>
    <n v="1"/>
    <n v="877.15"/>
    <n v="836.6"/>
    <n v="836.6"/>
    <n v="877.15"/>
    <n v="-40.549999999999955"/>
    <n v="-2.2143744020606966"/>
    <n v="-42.764374402060653"/>
    <n v="0"/>
    <n v="0"/>
    <n v="0"/>
    <n v="-42.764374402060653"/>
  </r>
  <r>
    <x v="11"/>
    <d v="2023-01-04T00:00:00"/>
    <d v="2023-01-24T00:00:00"/>
    <x v="10"/>
    <n v="9"/>
    <n v="4"/>
    <n v="877.15"/>
    <n v="836.6"/>
    <n v="3346.4"/>
    <n v="3508.6"/>
    <n v="-162.19999999999982"/>
    <n v="-8.8574976082427863"/>
    <n v="-171.05749760824261"/>
    <n v="0"/>
    <n v="0"/>
    <n v="0"/>
    <n v="-171.05749760824261"/>
  </r>
  <r>
    <x v="0"/>
    <d v="2022-02-03T00:00:00"/>
    <d v="2022-02-23T00:00:00"/>
    <x v="11"/>
    <n v="9"/>
    <n v="121"/>
    <n v="877.15"/>
    <n v="836.6"/>
    <n v="101228.6"/>
    <n v="106135.15"/>
    <n v="-4906.5499999999884"/>
    <n v="-267.93930264934426"/>
    <n v="-5174.4893026493328"/>
    <n v="0"/>
    <n v="0"/>
    <n v="0"/>
    <n v="-5174.4893026493328"/>
  </r>
  <r>
    <x v="1"/>
    <d v="2022-03-03T00:00:00"/>
    <d v="2022-03-22T00:00:00"/>
    <x v="11"/>
    <n v="9"/>
    <n v="109"/>
    <n v="877.15"/>
    <n v="836.6"/>
    <n v="91189.400000000009"/>
    <n v="95609.349999999991"/>
    <n v="-4419.9499999999825"/>
    <n v="-241.36680982461587"/>
    <n v="-4661.3168098245987"/>
    <n v="0"/>
    <n v="0"/>
    <n v="0"/>
    <n v="-4661.3168098245987"/>
  </r>
  <r>
    <x v="2"/>
    <d v="2022-04-05T00:00:00"/>
    <d v="2022-04-25T00:00:00"/>
    <x v="11"/>
    <n v="9"/>
    <n v="95"/>
    <n v="877.15"/>
    <n v="836.6"/>
    <n v="79477"/>
    <n v="83329.25"/>
    <n v="-3852.25"/>
    <n v="-210.36556819576614"/>
    <n v="-4062.6155681957662"/>
    <n v="0"/>
    <n v="0"/>
    <n v="0"/>
    <n v="-4062.6155681957662"/>
  </r>
  <r>
    <x v="3"/>
    <d v="2022-05-04T00:00:00"/>
    <d v="2022-05-24T00:00:00"/>
    <x v="11"/>
    <n v="9"/>
    <n v="93"/>
    <n v="877.15"/>
    <n v="836.6"/>
    <n v="77803.8"/>
    <n v="81574.95"/>
    <n v="-3771.1499999999942"/>
    <n v="-205.93681939164475"/>
    <n v="-3977.086819391639"/>
    <n v="0"/>
    <n v="0"/>
    <n v="0"/>
    <n v="-3977.086819391639"/>
  </r>
  <r>
    <x v="4"/>
    <d v="2022-06-03T00:00:00"/>
    <d v="2022-06-23T00:00:00"/>
    <x v="11"/>
    <n v="9"/>
    <n v="125"/>
    <n v="877.15"/>
    <n v="836.6"/>
    <n v="104575"/>
    <n v="109643.75"/>
    <n v="-5068.75"/>
    <n v="-276.79680025758699"/>
    <n v="-5345.5468002575872"/>
    <n v="0"/>
    <n v="0"/>
    <n v="0"/>
    <n v="-5345.5468002575872"/>
  </r>
  <r>
    <x v="5"/>
    <d v="2022-07-05T00:00:00"/>
    <d v="2022-07-25T00:00:00"/>
    <x v="11"/>
    <n v="9"/>
    <n v="159"/>
    <n v="877.15"/>
    <n v="836.6"/>
    <n v="133019.4"/>
    <n v="139466.85"/>
    <n v="-6447.4500000000116"/>
    <n v="-352.08552992765073"/>
    <n v="-6799.5355299276625"/>
    <n v="0"/>
    <n v="0"/>
    <n v="0"/>
    <n v="-6799.5355299276625"/>
  </r>
  <r>
    <x v="6"/>
    <d v="2022-08-03T00:00:00"/>
    <d v="2022-08-23T00:00:00"/>
    <x v="11"/>
    <n v="9"/>
    <n v="176"/>
    <n v="877.15"/>
    <n v="836.6"/>
    <n v="147241.60000000001"/>
    <n v="154378.4"/>
    <n v="-7136.7999999999884"/>
    <n v="-389.72989476268253"/>
    <n v="-7526.5298947626707"/>
    <n v="0"/>
    <n v="0"/>
    <n v="0"/>
    <n v="-7526.5298947626707"/>
  </r>
  <r>
    <x v="7"/>
    <d v="2022-09-05T00:00:00"/>
    <d v="2022-09-23T00:00:00"/>
    <x v="11"/>
    <n v="9"/>
    <n v="167"/>
    <n v="877.15"/>
    <n v="836.6"/>
    <n v="139712.20000000001"/>
    <n v="146484.04999999999"/>
    <n v="-6771.8499999999767"/>
    <n v="-369.80052514413632"/>
    <n v="-7141.6505251441131"/>
    <n v="0"/>
    <n v="0"/>
    <n v="0"/>
    <n v="-7141.6505251441131"/>
  </r>
  <r>
    <x v="8"/>
    <d v="2022-10-05T00:00:00"/>
    <d v="2022-10-25T00:00:00"/>
    <x v="11"/>
    <n v="9"/>
    <n v="153"/>
    <n v="877.15"/>
    <n v="836.6"/>
    <n v="127999.8"/>
    <n v="134203.94999999998"/>
    <n v="-6204.1499999999796"/>
    <n v="-338.7992835152865"/>
    <n v="-6542.949283515266"/>
    <n v="0"/>
    <n v="0"/>
    <n v="0"/>
    <n v="-6542.949283515266"/>
  </r>
  <r>
    <x v="9"/>
    <d v="2022-11-03T00:00:00"/>
    <d v="2022-11-23T00:00:00"/>
    <x v="11"/>
    <n v="9"/>
    <n v="104"/>
    <n v="877.15"/>
    <n v="836.6"/>
    <n v="87006.400000000009"/>
    <n v="91223.599999999991"/>
    <n v="-4217.1999999999825"/>
    <n v="-230.29493781431239"/>
    <n v="-4447.4949378142946"/>
    <n v="0"/>
    <n v="0"/>
    <n v="0"/>
    <n v="-4447.4949378142946"/>
  </r>
  <r>
    <x v="10"/>
    <d v="2022-12-05T00:00:00"/>
    <d v="2022-12-23T00:00:00"/>
    <x v="11"/>
    <n v="9"/>
    <n v="104"/>
    <n v="877.15"/>
    <n v="836.6"/>
    <n v="87006.400000000009"/>
    <n v="91223.599999999991"/>
    <n v="-4217.1999999999825"/>
    <n v="-230.29493781431239"/>
    <n v="-4447.4949378142946"/>
    <n v="0"/>
    <n v="0"/>
    <n v="0"/>
    <n v="-4447.4949378142946"/>
  </r>
  <r>
    <x v="11"/>
    <d v="2023-01-04T00:00:00"/>
    <d v="2023-01-24T00:00:00"/>
    <x v="11"/>
    <n v="9"/>
    <n v="139"/>
    <n v="877.15"/>
    <n v="836.6"/>
    <n v="116287.40000000001"/>
    <n v="121923.84999999999"/>
    <n v="-5636.4499999999825"/>
    <n v="-307.79804188643681"/>
    <n v="-5944.2480418864197"/>
    <n v="0"/>
    <n v="0"/>
    <n v="0"/>
    <n v="-5944.2480418864197"/>
  </r>
  <r>
    <x v="0"/>
    <d v="2022-02-03T00:00:00"/>
    <d v="2022-02-23T00:00:00"/>
    <x v="12"/>
    <n v="9"/>
    <n v="8"/>
    <n v="877.15"/>
    <n v="836.6"/>
    <n v="6692.8"/>
    <n v="7017.2"/>
    <n v="-324.39999999999964"/>
    <n v="-17.714995216485573"/>
    <n v="-342.11499521648523"/>
    <n v="0"/>
    <n v="0"/>
    <n v="0"/>
    <n v="-342.11499521648523"/>
  </r>
  <r>
    <x v="1"/>
    <d v="2022-03-03T00:00:00"/>
    <d v="2022-03-22T00:00:00"/>
    <x v="12"/>
    <n v="9"/>
    <n v="11"/>
    <n v="877.15"/>
    <n v="836.6"/>
    <n v="9202.6"/>
    <n v="9648.65"/>
    <n v="-446.04999999999927"/>
    <n v="-24.358118422667658"/>
    <n v="-470.40811842266692"/>
    <n v="0"/>
    <n v="0"/>
    <n v="0"/>
    <n v="-470.40811842266692"/>
  </r>
  <r>
    <x v="2"/>
    <d v="2022-04-05T00:00:00"/>
    <d v="2022-04-25T00:00:00"/>
    <x v="12"/>
    <n v="9"/>
    <n v="9"/>
    <n v="877.15"/>
    <n v="836.6"/>
    <n v="7529.4000000000005"/>
    <n v="7894.3499999999995"/>
    <n v="-364.94999999999891"/>
    <n v="-19.929369618546268"/>
    <n v="-384.87936961854518"/>
    <n v="0"/>
    <n v="0"/>
    <n v="0"/>
    <n v="-384.87936961854518"/>
  </r>
  <r>
    <x v="3"/>
    <d v="2022-05-04T00:00:00"/>
    <d v="2022-05-24T00:00:00"/>
    <x v="12"/>
    <n v="9"/>
    <n v="11"/>
    <n v="877.15"/>
    <n v="836.6"/>
    <n v="9202.6"/>
    <n v="9648.65"/>
    <n v="-446.04999999999927"/>
    <n v="-24.358118422667658"/>
    <n v="-470.40811842266692"/>
    <n v="0"/>
    <n v="0"/>
    <n v="0"/>
    <n v="-470.40811842266692"/>
  </r>
  <r>
    <x v="4"/>
    <d v="2022-06-03T00:00:00"/>
    <d v="2022-06-23T00:00:00"/>
    <x v="12"/>
    <n v="9"/>
    <n v="11"/>
    <n v="877.15"/>
    <n v="836.6"/>
    <n v="9202.6"/>
    <n v="9648.65"/>
    <n v="-446.04999999999927"/>
    <n v="-24.358118422667658"/>
    <n v="-470.40811842266692"/>
    <n v="0"/>
    <n v="0"/>
    <n v="0"/>
    <n v="-470.40811842266692"/>
  </r>
  <r>
    <x v="5"/>
    <d v="2022-07-05T00:00:00"/>
    <d v="2022-07-25T00:00:00"/>
    <x v="12"/>
    <n v="9"/>
    <n v="14"/>
    <n v="877.15"/>
    <n v="836.6"/>
    <n v="11712.4"/>
    <n v="12280.1"/>
    <n v="-567.70000000000073"/>
    <n v="-31.001241628849744"/>
    <n v="-598.70124162885043"/>
    <n v="0"/>
    <n v="0"/>
    <n v="0"/>
    <n v="-598.70124162885043"/>
  </r>
  <r>
    <x v="6"/>
    <d v="2022-08-03T00:00:00"/>
    <d v="2022-08-23T00:00:00"/>
    <x v="12"/>
    <n v="9"/>
    <n v="13"/>
    <n v="877.15"/>
    <n v="836.6"/>
    <n v="10875.800000000001"/>
    <n v="11402.949999999999"/>
    <n v="-527.14999999999782"/>
    <n v="-28.786867226789049"/>
    <n v="-555.93686722678683"/>
    <n v="0"/>
    <n v="0"/>
    <n v="0"/>
    <n v="-555.93686722678683"/>
  </r>
  <r>
    <x v="7"/>
    <d v="2022-09-05T00:00:00"/>
    <d v="2022-09-23T00:00:00"/>
    <x v="12"/>
    <n v="9"/>
    <n v="13"/>
    <n v="877.15"/>
    <n v="836.6"/>
    <n v="10875.800000000001"/>
    <n v="11402.949999999999"/>
    <n v="-527.14999999999782"/>
    <n v="-28.786867226789049"/>
    <n v="-555.93686722678683"/>
    <n v="0"/>
    <n v="0"/>
    <n v="0"/>
    <n v="-555.93686722678683"/>
  </r>
  <r>
    <x v="8"/>
    <d v="2022-10-05T00:00:00"/>
    <d v="2022-10-25T00:00:00"/>
    <x v="12"/>
    <n v="9"/>
    <n v="13"/>
    <n v="877.15"/>
    <n v="836.6"/>
    <n v="10875.800000000001"/>
    <n v="11402.949999999999"/>
    <n v="-527.14999999999782"/>
    <n v="-28.786867226789049"/>
    <n v="-555.93686722678683"/>
    <n v="0"/>
    <n v="0"/>
    <n v="0"/>
    <n v="-555.93686722678683"/>
  </r>
  <r>
    <x v="9"/>
    <d v="2022-11-03T00:00:00"/>
    <d v="2022-11-23T00:00:00"/>
    <x v="12"/>
    <n v="9"/>
    <n v="10"/>
    <n v="877.15"/>
    <n v="836.6"/>
    <n v="8366"/>
    <n v="8771.5"/>
    <n v="-405.5"/>
    <n v="-22.143744020606963"/>
    <n v="-427.64374402060696"/>
    <n v="0"/>
    <n v="0"/>
    <n v="0"/>
    <n v="-427.64374402060696"/>
  </r>
  <r>
    <x v="10"/>
    <d v="2022-12-05T00:00:00"/>
    <d v="2022-12-23T00:00:00"/>
    <x v="12"/>
    <n v="9"/>
    <n v="9"/>
    <n v="877.15"/>
    <n v="836.6"/>
    <n v="7529.4000000000005"/>
    <n v="7894.3499999999995"/>
    <n v="-364.94999999999891"/>
    <n v="-19.929369618546268"/>
    <n v="-384.87936961854518"/>
    <n v="0"/>
    <n v="0"/>
    <n v="0"/>
    <n v="-384.87936961854518"/>
  </r>
  <r>
    <x v="11"/>
    <d v="2023-01-04T00:00:00"/>
    <d v="2023-01-24T00:00:00"/>
    <x v="12"/>
    <n v="9"/>
    <n v="9"/>
    <n v="877.15"/>
    <n v="836.6"/>
    <n v="7529.4000000000005"/>
    <n v="7894.3499999999995"/>
    <n v="-364.94999999999891"/>
    <n v="-19.929369618546268"/>
    <n v="-384.87936961854518"/>
    <n v="0"/>
    <n v="0"/>
    <n v="0"/>
    <n v="-384.87936961854518"/>
  </r>
  <r>
    <x v="0"/>
    <d v="2022-02-03T00:00:00"/>
    <d v="2022-02-23T00:00:00"/>
    <x v="13"/>
    <n v="9"/>
    <n v="22"/>
    <n v="877.15"/>
    <n v="836.6"/>
    <n v="18405.2"/>
    <n v="19297.3"/>
    <n v="-892.09999999999854"/>
    <n v="-48.716236845335317"/>
    <n v="-940.81623684533383"/>
    <n v="0"/>
    <n v="0"/>
    <n v="0"/>
    <n v="-940.81623684533383"/>
  </r>
  <r>
    <x v="1"/>
    <d v="2022-03-03T00:00:00"/>
    <d v="2022-03-22T00:00:00"/>
    <x v="13"/>
    <n v="9"/>
    <n v="22"/>
    <n v="877.15"/>
    <n v="836.6"/>
    <n v="18405.2"/>
    <n v="19297.3"/>
    <n v="-892.09999999999854"/>
    <n v="-48.716236845335317"/>
    <n v="-940.81623684533383"/>
    <n v="0"/>
    <n v="0"/>
    <n v="0"/>
    <n v="-940.81623684533383"/>
  </r>
  <r>
    <x v="2"/>
    <d v="2022-04-05T00:00:00"/>
    <d v="2022-04-25T00:00:00"/>
    <x v="13"/>
    <n v="9"/>
    <n v="18"/>
    <n v="877.15"/>
    <n v="836.6"/>
    <n v="15058.800000000001"/>
    <n v="15788.699999999999"/>
    <n v="-729.89999999999782"/>
    <n v="-39.858739237092536"/>
    <n v="-769.75873923709037"/>
    <n v="0"/>
    <n v="0"/>
    <n v="0"/>
    <n v="-769.75873923709037"/>
  </r>
  <r>
    <x v="3"/>
    <d v="2022-05-04T00:00:00"/>
    <d v="2022-05-24T00:00:00"/>
    <x v="13"/>
    <n v="9"/>
    <n v="21"/>
    <n v="877.15"/>
    <n v="836.6"/>
    <n v="17568.600000000002"/>
    <n v="18420.149999999998"/>
    <n v="-851.54999999999563"/>
    <n v="-46.501862443274625"/>
    <n v="-898.05186244327024"/>
    <n v="0"/>
    <n v="0"/>
    <n v="0"/>
    <n v="-898.05186244327024"/>
  </r>
  <r>
    <x v="4"/>
    <d v="2022-06-03T00:00:00"/>
    <d v="2022-06-23T00:00:00"/>
    <x v="13"/>
    <n v="9"/>
    <n v="31"/>
    <n v="877.15"/>
    <n v="836.6"/>
    <n v="25934.600000000002"/>
    <n v="27191.649999999998"/>
    <n v="-1257.0499999999956"/>
    <n v="-68.645606463881577"/>
    <n v="-1325.6956064638773"/>
    <n v="0"/>
    <n v="0"/>
    <n v="0"/>
    <n v="-1325.6956064638773"/>
  </r>
  <r>
    <x v="5"/>
    <d v="2022-07-05T00:00:00"/>
    <d v="2022-07-25T00:00:00"/>
    <x v="13"/>
    <n v="9"/>
    <n v="38"/>
    <n v="877.15"/>
    <n v="836.6"/>
    <n v="31790.799999999999"/>
    <n v="33331.699999999997"/>
    <n v="-1540.8999999999978"/>
    <n v="-84.146227278306455"/>
    <n v="-1625.0462272783043"/>
    <n v="0"/>
    <n v="0"/>
    <n v="0"/>
    <n v="-1625.0462272783043"/>
  </r>
  <r>
    <x v="6"/>
    <d v="2022-08-03T00:00:00"/>
    <d v="2022-08-23T00:00:00"/>
    <x v="13"/>
    <n v="9"/>
    <n v="40"/>
    <n v="877.15"/>
    <n v="836.6"/>
    <n v="33464"/>
    <n v="35086"/>
    <n v="-1622"/>
    <n v="-88.574976082427852"/>
    <n v="-1710.5749760824278"/>
    <n v="0"/>
    <n v="0"/>
    <n v="0"/>
    <n v="-1710.5749760824278"/>
  </r>
  <r>
    <x v="7"/>
    <d v="2022-09-05T00:00:00"/>
    <d v="2022-09-23T00:00:00"/>
    <x v="13"/>
    <n v="9"/>
    <n v="38"/>
    <n v="877.15"/>
    <n v="836.6"/>
    <n v="31790.799999999999"/>
    <n v="33331.699999999997"/>
    <n v="-1540.8999999999978"/>
    <n v="-84.146227278306455"/>
    <n v="-1625.0462272783043"/>
    <n v="0"/>
    <n v="0"/>
    <n v="0"/>
    <n v="-1625.0462272783043"/>
  </r>
  <r>
    <x v="8"/>
    <d v="2022-10-05T00:00:00"/>
    <d v="2022-10-25T00:00:00"/>
    <x v="13"/>
    <n v="9"/>
    <n v="35"/>
    <n v="877.15"/>
    <n v="836.6"/>
    <n v="29281"/>
    <n v="30700.25"/>
    <n v="-1419.25"/>
    <n v="-77.503104072124373"/>
    <n v="-1496.7531040721244"/>
    <n v="0"/>
    <n v="0"/>
    <n v="0"/>
    <n v="-1496.7531040721244"/>
  </r>
  <r>
    <x v="9"/>
    <d v="2022-11-03T00:00:00"/>
    <d v="2022-11-23T00:00:00"/>
    <x v="13"/>
    <n v="9"/>
    <n v="23"/>
    <n v="877.15"/>
    <n v="836.6"/>
    <n v="19241.8"/>
    <n v="20174.45"/>
    <n v="-932.65000000000146"/>
    <n v="-50.930611247396016"/>
    <n v="-983.58061124739743"/>
    <n v="0"/>
    <n v="0"/>
    <n v="0"/>
    <n v="-983.58061124739743"/>
  </r>
  <r>
    <x v="10"/>
    <d v="2022-12-05T00:00:00"/>
    <d v="2022-12-23T00:00:00"/>
    <x v="13"/>
    <n v="9"/>
    <n v="18"/>
    <n v="877.15"/>
    <n v="836.6"/>
    <n v="15058.800000000001"/>
    <n v="15788.699999999999"/>
    <n v="-729.89999999999782"/>
    <n v="-39.858739237092536"/>
    <n v="-769.75873923709037"/>
    <n v="0"/>
    <n v="0"/>
    <n v="0"/>
    <n v="-769.75873923709037"/>
  </r>
  <r>
    <x v="11"/>
    <d v="2023-01-04T00:00:00"/>
    <d v="2023-01-24T00:00:00"/>
    <x v="13"/>
    <n v="9"/>
    <n v="27"/>
    <n v="877.15"/>
    <n v="836.6"/>
    <n v="22588.2"/>
    <n v="23683.05"/>
    <n v="-1094.8499999999985"/>
    <n v="-59.788108855638804"/>
    <n v="-1154.6381088556373"/>
    <n v="0"/>
    <n v="0"/>
    <n v="0"/>
    <n v="-1154.6381088556373"/>
  </r>
  <r>
    <x v="0"/>
    <d v="2022-02-03T00:00:00"/>
    <d v="2022-02-23T00:00:00"/>
    <x v="14"/>
    <n v="9"/>
    <n v="37"/>
    <n v="877.15"/>
    <n v="836.6"/>
    <n v="30954.2"/>
    <n v="32454.55"/>
    <n v="-1500.3499999999985"/>
    <n v="-81.931852876245756"/>
    <n v="-1582.2818528762443"/>
    <n v="0"/>
    <n v="0"/>
    <n v="0"/>
    <n v="-1582.2818528762443"/>
  </r>
  <r>
    <x v="1"/>
    <d v="2022-03-03T00:00:00"/>
    <d v="2022-03-22T00:00:00"/>
    <x v="14"/>
    <n v="9"/>
    <n v="37"/>
    <n v="877.15"/>
    <n v="836.6"/>
    <n v="30954.2"/>
    <n v="32454.55"/>
    <n v="-1500.3499999999985"/>
    <n v="-81.931852876245756"/>
    <n v="-1582.2818528762443"/>
    <n v="0"/>
    <n v="0"/>
    <n v="0"/>
    <n v="-1582.2818528762443"/>
  </r>
  <r>
    <x v="2"/>
    <d v="2022-04-05T00:00:00"/>
    <d v="2022-04-25T00:00:00"/>
    <x v="14"/>
    <n v="9"/>
    <n v="25"/>
    <n v="877.15"/>
    <n v="836.6"/>
    <n v="20915"/>
    <n v="21928.75"/>
    <n v="-1013.75"/>
    <n v="-55.359360051517406"/>
    <n v="-1069.1093600515173"/>
    <n v="0"/>
    <n v="0"/>
    <n v="0"/>
    <n v="-1069.1093600515173"/>
  </r>
  <r>
    <x v="3"/>
    <d v="2022-05-04T00:00:00"/>
    <d v="2022-05-24T00:00:00"/>
    <x v="14"/>
    <n v="9"/>
    <n v="31"/>
    <n v="877.15"/>
    <n v="836.6"/>
    <n v="25934.600000000002"/>
    <n v="27191.649999999998"/>
    <n v="-1257.0499999999956"/>
    <n v="-68.645606463881577"/>
    <n v="-1325.6956064638773"/>
    <n v="0"/>
    <n v="0"/>
    <n v="0"/>
    <n v="-1325.6956064638773"/>
  </r>
  <r>
    <x v="4"/>
    <d v="2022-06-03T00:00:00"/>
    <d v="2022-06-23T00:00:00"/>
    <x v="14"/>
    <n v="9"/>
    <n v="40"/>
    <n v="877.15"/>
    <n v="836.6"/>
    <n v="33464"/>
    <n v="35086"/>
    <n v="-1622"/>
    <n v="-88.574976082427852"/>
    <n v="-1710.5749760824278"/>
    <n v="0"/>
    <n v="0"/>
    <n v="0"/>
    <n v="-1710.5749760824278"/>
  </r>
  <r>
    <x v="5"/>
    <d v="2022-07-05T00:00:00"/>
    <d v="2022-07-25T00:00:00"/>
    <x v="14"/>
    <n v="9"/>
    <n v="48"/>
    <n v="877.15"/>
    <n v="836.6"/>
    <n v="40156.800000000003"/>
    <n v="42103.199999999997"/>
    <n v="-1946.3999999999942"/>
    <n v="-106.28997129891341"/>
    <n v="-2052.6899712989075"/>
    <n v="0"/>
    <n v="0"/>
    <n v="0"/>
    <n v="-2052.6899712989075"/>
  </r>
  <r>
    <x v="6"/>
    <d v="2022-08-03T00:00:00"/>
    <d v="2022-08-23T00:00:00"/>
    <x v="14"/>
    <n v="9"/>
    <n v="52"/>
    <n v="877.15"/>
    <n v="836.6"/>
    <n v="43503.200000000004"/>
    <n v="45611.799999999996"/>
    <n v="-2108.5999999999913"/>
    <n v="-115.1474689071562"/>
    <n v="-2223.7474689071473"/>
    <n v="0"/>
    <n v="0"/>
    <n v="0"/>
    <n v="-2223.7474689071473"/>
  </r>
  <r>
    <x v="7"/>
    <d v="2022-09-05T00:00:00"/>
    <d v="2022-09-23T00:00:00"/>
    <x v="14"/>
    <n v="9"/>
    <n v="50"/>
    <n v="877.15"/>
    <n v="836.6"/>
    <n v="41830"/>
    <n v="43857.5"/>
    <n v="-2027.5"/>
    <n v="-110.71872010303481"/>
    <n v="-2138.2187201030347"/>
    <n v="0"/>
    <n v="0"/>
    <n v="0"/>
    <n v="-2138.2187201030347"/>
  </r>
  <r>
    <x v="8"/>
    <d v="2022-10-05T00:00:00"/>
    <d v="2022-10-25T00:00:00"/>
    <x v="14"/>
    <n v="9"/>
    <n v="47"/>
    <n v="877.15"/>
    <n v="836.6"/>
    <n v="39320.200000000004"/>
    <n v="41226.049999999996"/>
    <n v="-1905.8499999999913"/>
    <n v="-104.07559689685273"/>
    <n v="-2009.9255968968439"/>
    <n v="0"/>
    <n v="0"/>
    <n v="0"/>
    <n v="-2009.9255968968439"/>
  </r>
  <r>
    <x v="9"/>
    <d v="2022-11-03T00:00:00"/>
    <d v="2022-11-23T00:00:00"/>
    <x v="14"/>
    <n v="9"/>
    <n v="35"/>
    <n v="877.15"/>
    <n v="836.6"/>
    <n v="29281"/>
    <n v="30700.25"/>
    <n v="-1419.25"/>
    <n v="-77.503104072124373"/>
    <n v="-1496.7531040721244"/>
    <n v="0"/>
    <n v="0"/>
    <n v="0"/>
    <n v="-1496.7531040721244"/>
  </r>
  <r>
    <x v="10"/>
    <d v="2022-12-05T00:00:00"/>
    <d v="2022-12-23T00:00:00"/>
    <x v="14"/>
    <n v="9"/>
    <n v="34"/>
    <n v="877.15"/>
    <n v="836.6"/>
    <n v="28444.400000000001"/>
    <n v="29823.1"/>
    <n v="-1378.6999999999971"/>
    <n v="-75.288729670063674"/>
    <n v="-1453.9887296700608"/>
    <n v="0"/>
    <n v="0"/>
    <n v="0"/>
    <n v="-1453.9887296700608"/>
  </r>
  <r>
    <x v="11"/>
    <d v="2023-01-04T00:00:00"/>
    <d v="2023-01-24T00:00:00"/>
    <x v="14"/>
    <n v="9"/>
    <n v="34"/>
    <n v="877.15"/>
    <n v="836.6"/>
    <n v="28444.400000000001"/>
    <n v="29823.1"/>
    <n v="-1378.6999999999971"/>
    <n v="-75.288729670063674"/>
    <n v="-1453.9887296700608"/>
    <n v="0"/>
    <n v="0"/>
    <n v="0"/>
    <n v="-1453.9887296700608"/>
  </r>
  <r>
    <x v="0"/>
    <d v="2022-02-03T00:00:00"/>
    <d v="2022-02-23T00:00:00"/>
    <x v="15"/>
    <n v="9"/>
    <n v="106"/>
    <n v="877.15"/>
    <n v="836.6"/>
    <n v="88679.6"/>
    <n v="92977.9"/>
    <n v="-4298.2999999999884"/>
    <n v="-234.72368661843382"/>
    <n v="-4533.0236866184223"/>
    <n v="0"/>
    <n v="0"/>
    <n v="0"/>
    <n v="-4533.0236866184223"/>
  </r>
  <r>
    <x v="1"/>
    <d v="2022-03-03T00:00:00"/>
    <d v="2022-03-22T00:00:00"/>
    <x v="15"/>
    <n v="9"/>
    <n v="101"/>
    <n v="877.15"/>
    <n v="836.6"/>
    <n v="84496.6"/>
    <n v="88592.15"/>
    <n v="-4095.5499999999884"/>
    <n v="-223.65181460813031"/>
    <n v="-4319.2018146081191"/>
    <n v="0"/>
    <n v="0"/>
    <n v="0"/>
    <n v="-4319.2018146081191"/>
  </r>
  <r>
    <x v="2"/>
    <d v="2022-04-05T00:00:00"/>
    <d v="2022-04-25T00:00:00"/>
    <x v="15"/>
    <n v="9"/>
    <n v="97"/>
    <n v="877.15"/>
    <n v="836.6"/>
    <n v="81150.2"/>
    <n v="85083.55"/>
    <n v="-3933.3500000000058"/>
    <n v="-214.79431699988754"/>
    <n v="-4148.1443169998929"/>
    <n v="0"/>
    <n v="0"/>
    <n v="0"/>
    <n v="-4148.1443169998929"/>
  </r>
  <r>
    <x v="3"/>
    <d v="2022-05-04T00:00:00"/>
    <d v="2022-05-24T00:00:00"/>
    <x v="15"/>
    <n v="9"/>
    <n v="98"/>
    <n v="877.15"/>
    <n v="836.6"/>
    <n v="81986.8"/>
    <n v="85960.7"/>
    <n v="-3973.8999999999942"/>
    <n v="-217.00869140194823"/>
    <n v="-4190.9086914019426"/>
    <n v="0"/>
    <n v="0"/>
    <n v="0"/>
    <n v="-4190.9086914019426"/>
  </r>
  <r>
    <x v="4"/>
    <d v="2022-06-03T00:00:00"/>
    <d v="2022-06-23T00:00:00"/>
    <x v="15"/>
    <n v="9"/>
    <n v="104"/>
    <n v="877.15"/>
    <n v="836.6"/>
    <n v="87006.400000000009"/>
    <n v="91223.599999999991"/>
    <n v="-4217.1999999999825"/>
    <n v="-230.29493781431239"/>
    <n v="-4447.4949378142946"/>
    <n v="0"/>
    <n v="0"/>
    <n v="0"/>
    <n v="-4447.4949378142946"/>
  </r>
  <r>
    <x v="5"/>
    <d v="2022-07-05T00:00:00"/>
    <d v="2022-07-25T00:00:00"/>
    <x v="15"/>
    <n v="9"/>
    <n v="115"/>
    <n v="877.15"/>
    <n v="836.6"/>
    <n v="96209"/>
    <n v="100872.25"/>
    <n v="-4663.25"/>
    <n v="-254.65305623698009"/>
    <n v="-4917.9030562369799"/>
    <n v="0"/>
    <n v="0"/>
    <n v="0"/>
    <n v="-4917.9030562369799"/>
  </r>
  <r>
    <x v="6"/>
    <d v="2022-08-03T00:00:00"/>
    <d v="2022-08-23T00:00:00"/>
    <x v="15"/>
    <n v="9"/>
    <n v="42"/>
    <n v="877.15"/>
    <n v="836.6"/>
    <n v="35137.200000000004"/>
    <n v="36840.299999999996"/>
    <n v="-1703.0999999999913"/>
    <n v="-93.00372488654925"/>
    <n v="-1796.1037248865405"/>
    <n v="0"/>
    <n v="0"/>
    <n v="0"/>
    <n v="-1796.1037248865405"/>
  </r>
  <r>
    <x v="7"/>
    <d v="2022-09-05T00:00:00"/>
    <d v="2022-09-23T00:00:00"/>
    <x v="15"/>
    <n v="9"/>
    <n v="41"/>
    <n v="877.15"/>
    <n v="836.6"/>
    <n v="34300.6"/>
    <n v="35963.15"/>
    <n v="-1662.5500000000029"/>
    <n v="-90.789350484488537"/>
    <n v="-1753.3393504844914"/>
    <n v="0"/>
    <n v="0"/>
    <n v="0"/>
    <n v="-1753.3393504844914"/>
  </r>
  <r>
    <x v="8"/>
    <d v="2022-10-05T00:00:00"/>
    <d v="2022-10-25T00:00:00"/>
    <x v="15"/>
    <n v="9"/>
    <n v="115"/>
    <n v="877.15"/>
    <n v="836.6"/>
    <n v="96209"/>
    <n v="100872.25"/>
    <n v="-4663.25"/>
    <n v="-254.65305623698009"/>
    <n v="-4917.9030562369799"/>
    <n v="0"/>
    <n v="0"/>
    <n v="0"/>
    <n v="-4917.9030562369799"/>
  </r>
  <r>
    <x v="9"/>
    <d v="2022-11-03T00:00:00"/>
    <d v="2022-11-23T00:00:00"/>
    <x v="15"/>
    <n v="9"/>
    <n v="105"/>
    <n v="877.15"/>
    <n v="836.6"/>
    <n v="87843"/>
    <n v="92100.75"/>
    <n v="-4257.75"/>
    <n v="-232.50931221637313"/>
    <n v="-4490.2593122163735"/>
    <n v="0"/>
    <n v="0"/>
    <n v="0"/>
    <n v="-4490.2593122163735"/>
  </r>
  <r>
    <x v="10"/>
    <d v="2022-12-05T00:00:00"/>
    <d v="2022-12-23T00:00:00"/>
    <x v="15"/>
    <n v="9"/>
    <n v="104"/>
    <n v="877.15"/>
    <n v="836.6"/>
    <n v="87006.400000000009"/>
    <n v="91223.599999999991"/>
    <n v="-4217.1999999999825"/>
    <n v="-230.29493781431239"/>
    <n v="-4447.4949378142946"/>
    <n v="0"/>
    <n v="0"/>
    <n v="0"/>
    <n v="-4447.4949378142946"/>
  </r>
  <r>
    <x v="11"/>
    <d v="2023-01-04T00:00:00"/>
    <d v="2023-01-24T00:00:00"/>
    <x v="15"/>
    <n v="9"/>
    <n v="104"/>
    <n v="877.15"/>
    <n v="836.6"/>
    <n v="87006.400000000009"/>
    <n v="91223.599999999991"/>
    <n v="-4217.1999999999825"/>
    <n v="-230.29493781431239"/>
    <n v="-4447.4949378142946"/>
    <n v="0"/>
    <n v="0"/>
    <n v="0"/>
    <n v="-4447.49493781429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57">
        <item m="1" x="57"/>
        <item m="1" x="81"/>
        <item m="1" x="105"/>
        <item m="1" x="129"/>
        <item m="1" x="153"/>
        <item m="1" x="33"/>
        <item m="1" x="68"/>
        <item m="1" x="92"/>
        <item m="1" x="116"/>
        <item m="1" x="140"/>
        <item m="1" x="20"/>
        <item m="1" x="44"/>
        <item m="1" x="58"/>
        <item m="1" x="82"/>
        <item m="1" x="106"/>
        <item m="1" x="130"/>
        <item m="1" x="154"/>
        <item m="1" x="34"/>
        <item m="1" x="70"/>
        <item m="1" x="94"/>
        <item m="1" x="118"/>
        <item m="1" x="142"/>
        <item m="1" x="22"/>
        <item m="1" x="46"/>
        <item m="1" x="59"/>
        <item m="1" x="83"/>
        <item m="1" x="107"/>
        <item m="1" x="131"/>
        <item m="1" x="155"/>
        <item m="1" x="35"/>
        <item m="1" x="71"/>
        <item m="1" x="95"/>
        <item m="1" x="119"/>
        <item m="1" x="143"/>
        <item m="1" x="23"/>
        <item m="1" x="47"/>
        <item m="1" x="60"/>
        <item m="1" x="84"/>
        <item m="1" x="108"/>
        <item m="1" x="132"/>
        <item m="1" x="12"/>
        <item m="1" x="36"/>
        <item m="1" x="72"/>
        <item m="1" x="96"/>
        <item m="1" x="120"/>
        <item m="1" x="144"/>
        <item m="1" x="24"/>
        <item m="1" x="48"/>
        <item m="1" x="61"/>
        <item m="1" x="85"/>
        <item m="1" x="109"/>
        <item m="1" x="133"/>
        <item m="1" x="13"/>
        <item m="1" x="37"/>
        <item m="1" x="73"/>
        <item m="1" x="97"/>
        <item m="1" x="121"/>
        <item m="1" x="145"/>
        <item m="1" x="25"/>
        <item m="1" x="49"/>
        <item m="1" x="62"/>
        <item m="1" x="86"/>
        <item m="1" x="110"/>
        <item m="1" x="134"/>
        <item m="1" x="14"/>
        <item m="1" x="38"/>
        <item m="1" x="74"/>
        <item m="1" x="98"/>
        <item m="1" x="122"/>
        <item m="1" x="146"/>
        <item m="1" x="26"/>
        <item m="1" x="50"/>
        <item m="1" x="63"/>
        <item m="1" x="87"/>
        <item m="1" x="111"/>
        <item m="1" x="135"/>
        <item m="1" x="15"/>
        <item m="1" x="39"/>
        <item m="1" x="75"/>
        <item m="1" x="99"/>
        <item m="1" x="123"/>
        <item m="1" x="147"/>
        <item m="1" x="27"/>
        <item m="1" x="51"/>
        <item m="1" x="64"/>
        <item m="1" x="88"/>
        <item m="1" x="112"/>
        <item m="1" x="136"/>
        <item m="1" x="16"/>
        <item m="1" x="40"/>
        <item m="1" x="76"/>
        <item m="1" x="100"/>
        <item m="1" x="124"/>
        <item m="1" x="148"/>
        <item m="1" x="28"/>
        <item m="1" x="52"/>
        <item m="1" x="65"/>
        <item m="1" x="89"/>
        <item m="1" x="113"/>
        <item m="1" x="137"/>
        <item m="1" x="17"/>
        <item m="1" x="41"/>
        <item m="1" x="77"/>
        <item m="1" x="101"/>
        <item m="1" x="125"/>
        <item m="1" x="149"/>
        <item m="1" x="29"/>
        <item m="1" x="53"/>
        <item m="1" x="66"/>
        <item m="1" x="90"/>
        <item m="1" x="114"/>
        <item m="1" x="138"/>
        <item m="1" x="18"/>
        <item m="1" x="42"/>
        <item m="1" x="78"/>
        <item m="1" x="102"/>
        <item m="1" x="126"/>
        <item m="1" x="150"/>
        <item m="1" x="30"/>
        <item m="1" x="54"/>
        <item m="1" x="67"/>
        <item m="1" x="91"/>
        <item m="1" x="115"/>
        <item m="1" x="139"/>
        <item m="1" x="19"/>
        <item m="1" x="43"/>
        <item m="1" x="79"/>
        <item m="1" x="103"/>
        <item m="1" x="127"/>
        <item m="1" x="151"/>
        <item m="1" x="31"/>
        <item m="1" x="55"/>
        <item m="1" x="69"/>
        <item m="1" x="93"/>
        <item m="1" x="117"/>
        <item m="1" x="141"/>
        <item m="1" x="21"/>
        <item m="1" x="45"/>
        <item m="1" x="80"/>
        <item m="1" x="104"/>
        <item m="1" x="128"/>
        <item m="1" x="152"/>
        <item m="1" x="32"/>
        <item m="1"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tabSelected="1" workbookViewId="0">
      <selection activeCell="N13" sqref="N13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63</v>
      </c>
    </row>
    <row r="3" spans="1:2" x14ac:dyDescent="0.2">
      <c r="A3" s="2">
        <v>1</v>
      </c>
      <c r="B3" s="3" t="s">
        <v>65</v>
      </c>
    </row>
    <row r="4" spans="1:2" x14ac:dyDescent="0.2">
      <c r="A4" s="2">
        <v>2</v>
      </c>
      <c r="B4" s="3" t="s">
        <v>64</v>
      </c>
    </row>
    <row r="5" spans="1:2" x14ac:dyDescent="0.2">
      <c r="A5" s="2">
        <v>3</v>
      </c>
      <c r="B5" s="3" t="s">
        <v>66</v>
      </c>
    </row>
    <row r="6" spans="1:2" x14ac:dyDescent="0.2">
      <c r="A6" s="2">
        <v>4</v>
      </c>
      <c r="B6" s="4" t="s">
        <v>80</v>
      </c>
    </row>
    <row r="7" spans="1:2" x14ac:dyDescent="0.2">
      <c r="A7" s="2">
        <v>5</v>
      </c>
      <c r="B7" s="3" t="s">
        <v>67</v>
      </c>
    </row>
    <row r="8" spans="1:2" x14ac:dyDescent="0.2">
      <c r="A8" s="2">
        <v>6</v>
      </c>
      <c r="B8" s="3" t="s">
        <v>68</v>
      </c>
    </row>
    <row r="9" spans="1:2" x14ac:dyDescent="0.2">
      <c r="A9" s="2">
        <v>7</v>
      </c>
      <c r="B9" s="5" t="s">
        <v>69</v>
      </c>
    </row>
    <row r="10" spans="1:2" x14ac:dyDescent="0.2">
      <c r="A10" s="2">
        <v>8</v>
      </c>
      <c r="B10" s="3" t="s">
        <v>72</v>
      </c>
    </row>
    <row r="11" spans="1:2" x14ac:dyDescent="0.2">
      <c r="A11" s="2"/>
      <c r="B11" s="3" t="s">
        <v>73</v>
      </c>
    </row>
    <row r="12" spans="1:2" x14ac:dyDescent="0.2">
      <c r="A12" s="2"/>
      <c r="B12" s="5" t="s">
        <v>74</v>
      </c>
    </row>
    <row r="13" spans="1:2" x14ac:dyDescent="0.2">
      <c r="A13" s="2"/>
      <c r="B13" s="5" t="s">
        <v>75</v>
      </c>
    </row>
    <row r="14" spans="1:2" x14ac:dyDescent="0.2">
      <c r="A14" s="2">
        <v>9</v>
      </c>
      <c r="B14" s="3" t="s">
        <v>76</v>
      </c>
    </row>
    <row r="15" spans="1:2" x14ac:dyDescent="0.2">
      <c r="A15" s="2">
        <v>10</v>
      </c>
      <c r="B15" s="3" t="s">
        <v>78</v>
      </c>
    </row>
    <row r="16" spans="1:2" x14ac:dyDescent="0.2">
      <c r="A16" s="2">
        <v>11</v>
      </c>
      <c r="B16" s="3" t="s">
        <v>79</v>
      </c>
    </row>
    <row r="17" spans="1:1" x14ac:dyDescent="0.2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3"/>
  <sheetViews>
    <sheetView topLeftCell="A4" zoomScale="85" zoomScaleNormal="85" zoomScaleSheetLayoutView="100" workbookViewId="0">
      <selection activeCell="K20" sqref="K20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2" t="str">
        <f>+Transactions!B1</f>
        <v>AEPTCo Formula Rate -- FERC Docket ER18-195</v>
      </c>
      <c r="D1" s="252"/>
      <c r="E1" s="252"/>
      <c r="F1" s="252"/>
      <c r="G1" s="252"/>
      <c r="H1" s="252"/>
      <c r="I1" s="252"/>
      <c r="L1" s="6">
        <v>2022</v>
      </c>
    </row>
    <row r="2" spans="2:19" x14ac:dyDescent="0.2">
      <c r="C2" s="252" t="s">
        <v>36</v>
      </c>
      <c r="D2" s="252"/>
      <c r="E2" s="252"/>
      <c r="F2" s="252"/>
      <c r="G2" s="252"/>
      <c r="H2" s="252"/>
      <c r="I2" s="252"/>
    </row>
    <row r="3" spans="2:19" x14ac:dyDescent="0.2">
      <c r="C3" s="252" t="str">
        <f>"for period 01/01/"&amp;F8&amp;" - 12/31/"&amp;F8</f>
        <v>for period 01/01/2022 - 12/31/2022</v>
      </c>
      <c r="D3" s="252"/>
      <c r="E3" s="252"/>
      <c r="F3" s="252"/>
      <c r="G3" s="252"/>
      <c r="H3" s="252"/>
      <c r="I3" s="252"/>
    </row>
    <row r="4" spans="2:19" x14ac:dyDescent="0.2">
      <c r="C4" s="252" t="s">
        <v>94</v>
      </c>
      <c r="D4" s="252"/>
      <c r="E4" s="252"/>
      <c r="F4" s="252"/>
      <c r="G4" s="252"/>
      <c r="H4" s="252"/>
      <c r="I4" s="252"/>
    </row>
    <row r="5" spans="2:19" x14ac:dyDescent="0.2">
      <c r="C5" s="7" t="str">
        <f>"Prepared:  May 24_, "&amp;L1+1&amp;""</f>
        <v>Prepared:  May 24_, 2023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v>2022</v>
      </c>
    </row>
    <row r="9" spans="2:19" ht="20.25" customHeight="1" x14ac:dyDescent="0.2">
      <c r="E9" s="12" t="s">
        <v>93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2022 Projections 2022)</v>
      </c>
      <c r="F10" s="18" t="str">
        <f>"(per "&amp;F8+1&amp;" Update of May "&amp;F8+1&amp;")"</f>
        <v>(per 2023 Update of May 2023)</v>
      </c>
      <c r="G10" s="19"/>
      <c r="H10" s="20"/>
    </row>
    <row r="11" spans="2:19" ht="21.75" customHeight="1" x14ac:dyDescent="0.2">
      <c r="B11" s="21"/>
      <c r="C11" s="22" t="s">
        <v>39</v>
      </c>
      <c r="D11" s="23" t="s">
        <v>37</v>
      </c>
      <c r="E11" s="24">
        <f>Transactions!K2</f>
        <v>85819554.974326938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87570159.94265613</v>
      </c>
      <c r="G12" s="32"/>
      <c r="H12" s="33"/>
      <c r="K12" s="34"/>
    </row>
    <row r="13" spans="2:19" ht="21.75" customHeight="1" x14ac:dyDescent="0.2">
      <c r="B13" s="35"/>
      <c r="C13" s="36" t="s">
        <v>40</v>
      </c>
      <c r="D13" s="37" t="s">
        <v>38</v>
      </c>
      <c r="E13" s="38">
        <f>Transactions!K3</f>
        <v>877.15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836.6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50</v>
      </c>
      <c r="D20" s="60" t="str">
        <f>"Actual Charge
("&amp;F8&amp;" True-Up)"</f>
        <v>Actual Charge
(2022 True-Up)</v>
      </c>
      <c r="E20" s="61" t="str">
        <f>"Invoiced for
CY"&amp;F8&amp;" Transmission Service"</f>
        <v>Invoiced for
CY2022 Transmission Service</v>
      </c>
      <c r="F20" s="60" t="s">
        <v>100</v>
      </c>
      <c r="G20" s="62" t="s">
        <v>101</v>
      </c>
      <c r="H20" s="62" t="s">
        <v>102</v>
      </c>
      <c r="I20" s="60" t="s">
        <v>103</v>
      </c>
      <c r="J20" s="63" t="s">
        <v>104</v>
      </c>
      <c r="K20" s="64" t="s">
        <v>99</v>
      </c>
      <c r="N20" s="52"/>
      <c r="O20" s="53"/>
      <c r="P20" s="53"/>
      <c r="Q20" s="53"/>
      <c r="R20" s="53"/>
      <c r="S20" s="53"/>
    </row>
    <row r="21" spans="2:19" x14ac:dyDescent="0.2">
      <c r="B21" s="65"/>
      <c r="C21" s="66" t="s">
        <v>14</v>
      </c>
      <c r="D21" s="67">
        <f>GETPIVOTDATA("Sum of "&amp;T(Transactions!$J$19),Pivot!$A$3,"Customer",C21)</f>
        <v>8303255</v>
      </c>
      <c r="E21" s="67">
        <f>GETPIVOTDATA("Sum of "&amp;T(Transactions!$K$19),Pivot!$A$3,"Customer",C21)</f>
        <v>8705713.75</v>
      </c>
      <c r="F21" s="67">
        <f>D21-E21</f>
        <v>-402458.75</v>
      </c>
      <c r="G21" s="53">
        <f>+GETPIVOTDATA("Sum of "&amp;T(Transactions!$M$19),Pivot!$A$3,"Customer","AECC")</f>
        <v>-21977.665940452411</v>
      </c>
      <c r="H21" s="53">
        <f>GETPIVOTDATA("Sum of "&amp;T(Transactions!$Q$19),Pivot!$A$3,"Customer","AECC")</f>
        <v>0</v>
      </c>
      <c r="I21" s="68">
        <f>F21+G21-H21</f>
        <v>-424436.41594045243</v>
      </c>
      <c r="J21" s="69">
        <v>0</v>
      </c>
      <c r="K21" s="70">
        <f>I21+J21</f>
        <v>-424436.41594045243</v>
      </c>
      <c r="L21" s="65"/>
      <c r="N21" s="52"/>
      <c r="O21" s="53"/>
      <c r="P21" s="53"/>
      <c r="Q21" s="53"/>
      <c r="R21" s="53"/>
      <c r="S21" s="53"/>
    </row>
    <row r="22" spans="2:19" x14ac:dyDescent="0.2">
      <c r="B22" s="65"/>
      <c r="C22" s="71" t="s">
        <v>83</v>
      </c>
      <c r="D22" s="67">
        <f>GETPIVOTDATA("Sum of "&amp;T(Transactions!$J$19),Pivot!$A$3,"Customer",C22)</f>
        <v>455946.99999999994</v>
      </c>
      <c r="E22" s="67">
        <f>GETPIVOTDATA("Sum of "&amp;T(Transactions!$K$19),Pivot!$A$3,"Customer",C22)</f>
        <v>478046.75000000006</v>
      </c>
      <c r="F22" s="67">
        <f>D22-E22</f>
        <v>-22099.750000000116</v>
      </c>
      <c r="G22" s="53">
        <f>+GETPIVOTDATA("Sum of "&amp;T(Transactions!$M$19),Pivot!$A$3,"Customer","AECI")</f>
        <v>-1206.8340491230795</v>
      </c>
      <c r="H22" s="53">
        <f>GETPIVOTDATA("Sum of "&amp;T(Transactions!$Q$19),Pivot!$A$3,"Customer",C22)</f>
        <v>0</v>
      </c>
      <c r="I22" s="68">
        <f t="shared" ref="I22:I33" si="0">F22+G22-H22</f>
        <v>-23306.584049123197</v>
      </c>
      <c r="J22" s="69">
        <v>0</v>
      </c>
      <c r="K22" s="70">
        <f t="shared" ref="K22:K39" si="1">I22+J22</f>
        <v>-23306.584049123197</v>
      </c>
      <c r="L22" s="65"/>
      <c r="N22" s="52"/>
      <c r="O22" s="53"/>
      <c r="P22" s="53"/>
      <c r="Q22" s="53"/>
      <c r="R22" s="53"/>
      <c r="S22" s="53"/>
    </row>
    <row r="23" spans="2:19" x14ac:dyDescent="0.2">
      <c r="B23" s="65"/>
      <c r="C23" s="71" t="s">
        <v>54</v>
      </c>
      <c r="D23" s="67">
        <f>GETPIVOTDATA("Sum of "&amp;T(Transactions!$J$19),Pivot!$A$3,"Customer",C23)</f>
        <v>1292546.9999999998</v>
      </c>
      <c r="E23" s="67">
        <f>GETPIVOTDATA("Sum of "&amp;T(Transactions!$K$19),Pivot!$A$3,"Customer",C23)</f>
        <v>1355196.7500000002</v>
      </c>
      <c r="F23" s="67">
        <f t="shared" ref="F23:F35" si="2">D23-E23</f>
        <v>-62649.750000000466</v>
      </c>
      <c r="G23" s="53">
        <f>+GETPIVOTDATA("Sum of "&amp;T(Transactions!$M$19),Pivot!$A$3,"Customer","Bentonville, AR")</f>
        <v>-3421.2084511837757</v>
      </c>
      <c r="H23" s="53">
        <f>GETPIVOTDATA("Sum of "&amp;T(Transactions!$Q$19),Pivot!$A$3,"Customer",C23)</f>
        <v>0</v>
      </c>
      <c r="I23" s="68">
        <f t="shared" si="0"/>
        <v>-66070.95845118424</v>
      </c>
      <c r="J23" s="69">
        <v>0</v>
      </c>
      <c r="K23" s="70">
        <f t="shared" si="1"/>
        <v>-66070.95845118424</v>
      </c>
      <c r="L23" s="65"/>
      <c r="N23" s="52"/>
      <c r="O23" s="53"/>
      <c r="P23" s="53"/>
      <c r="Q23" s="53"/>
      <c r="R23" s="53"/>
      <c r="S23" s="53"/>
    </row>
    <row r="24" spans="2:19" x14ac:dyDescent="0.2">
      <c r="B24" s="65"/>
      <c r="C24" s="66" t="s">
        <v>17</v>
      </c>
      <c r="D24" s="67">
        <f>GETPIVOTDATA("Sum of "&amp;T(Transactions!$J$19),Pivot!$A$3,"Customer",C24)</f>
        <v>947031.20000000007</v>
      </c>
      <c r="E24" s="67">
        <f>GETPIVOTDATA("Sum of "&amp;T(Transactions!$K$19),Pivot!$A$3,"Customer",C24)</f>
        <v>992933.79999999993</v>
      </c>
      <c r="F24" s="67">
        <f t="shared" si="2"/>
        <v>-45902.59999999986</v>
      </c>
      <c r="G24" s="53">
        <f>+GETPIVOTDATA("Sum of "&amp;T(Transactions!$M$19),Pivot!$A$3,"Customer","Coffeyville, KS")</f>
        <v>-2506.6718231327086</v>
      </c>
      <c r="H24" s="53">
        <f>GETPIVOTDATA("Sum of "&amp;T(Transactions!$Q$19),Pivot!$A$3,"Customer",C24)</f>
        <v>0</v>
      </c>
      <c r="I24" s="68">
        <f t="shared" si="0"/>
        <v>-48409.271823132571</v>
      </c>
      <c r="J24" s="69">
        <v>0</v>
      </c>
      <c r="K24" s="70">
        <f t="shared" si="1"/>
        <v>-48409.271823132571</v>
      </c>
      <c r="L24" s="65"/>
      <c r="N24" s="52"/>
      <c r="O24" s="53"/>
      <c r="P24" s="53"/>
      <c r="Q24" s="53"/>
      <c r="R24" s="53"/>
      <c r="S24" s="53"/>
    </row>
    <row r="25" spans="2:19" x14ac:dyDescent="0.2">
      <c r="B25" s="65"/>
      <c r="C25" s="71" t="s">
        <v>13</v>
      </c>
      <c r="D25" s="67">
        <f>GETPIVOTDATA("Sum of "&amp;T(Transactions!$J$19),Pivot!$A$3,"Customer",C25)</f>
        <v>9222678.4000000004</v>
      </c>
      <c r="E25" s="67">
        <f>GETPIVOTDATA("Sum of "&amp;T(Transactions!$K$19),Pivot!$A$3,"Customer",C25)</f>
        <v>9669701.5999999996</v>
      </c>
      <c r="F25" s="67">
        <f t="shared" si="2"/>
        <v>-447023.19999999925</v>
      </c>
      <c r="G25" s="53">
        <f>+GETPIVOTDATA("Sum of "&amp;T(Transactions!$M$19),Pivot!$A$3,"Customer","ETEC")</f>
        <v>-24411.263408317118</v>
      </c>
      <c r="H25" s="53">
        <f>GETPIVOTDATA("Sum of "&amp;T(Transactions!$Q$19),Pivot!$A$3,"Customer",C25)</f>
        <v>0</v>
      </c>
      <c r="I25" s="68">
        <f t="shared" si="0"/>
        <v>-471434.46340831637</v>
      </c>
      <c r="J25" s="69">
        <v>0</v>
      </c>
      <c r="K25" s="70">
        <f t="shared" si="1"/>
        <v>-471434.46340831637</v>
      </c>
      <c r="L25" s="65"/>
      <c r="N25" s="54"/>
      <c r="O25" s="53"/>
      <c r="P25" s="53"/>
      <c r="Q25" s="53"/>
      <c r="R25" s="53"/>
      <c r="S25" s="53"/>
    </row>
    <row r="26" spans="2:19" x14ac:dyDescent="0.2">
      <c r="B26" s="65"/>
      <c r="C26" s="66" t="s">
        <v>15</v>
      </c>
      <c r="D26" s="67">
        <f>GETPIVOTDATA("Sum of "&amp;T(Transactions!$J$19),Pivot!$A$3,"Customer",C26)</f>
        <v>95372.400000000009</v>
      </c>
      <c r="E26" s="67">
        <f>GETPIVOTDATA("Sum of "&amp;T(Transactions!$K$19),Pivot!$A$3,"Customer",C26)</f>
        <v>99995.099999999991</v>
      </c>
      <c r="F26" s="67">
        <f t="shared" si="2"/>
        <v>-4622.6999999999825</v>
      </c>
      <c r="G26" s="53">
        <f>+GETPIVOTDATA("Sum of "&amp;T(Transactions!$M$19),Pivot!$A$3,"Customer","Greenbelt")</f>
        <v>-252.43868183491935</v>
      </c>
      <c r="H26" s="53">
        <f>GETPIVOTDATA("Sum of "&amp;T(Transactions!$Q$19),Pivot!$A$3,"Customer",C26)</f>
        <v>0</v>
      </c>
      <c r="I26" s="68">
        <f t="shared" si="0"/>
        <v>-4875.1386818349019</v>
      </c>
      <c r="J26" s="69">
        <v>0</v>
      </c>
      <c r="K26" s="70">
        <f t="shared" si="1"/>
        <v>-4875.1386818349019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">
      <c r="B27" s="65"/>
      <c r="C27" s="66" t="s">
        <v>57</v>
      </c>
      <c r="D27" s="67">
        <f>GETPIVOTDATA("Sum of "&amp;T(Transactions!$J$19),Pivot!$A$3,"Customer",C27)</f>
        <v>393202.00000000006</v>
      </c>
      <c r="E27" s="67">
        <f>GETPIVOTDATA("Sum of "&amp;T(Transactions!$K$19),Pivot!$A$3,"Customer",C27)</f>
        <v>412260.49999999994</v>
      </c>
      <c r="F27" s="67">
        <f t="shared" si="2"/>
        <v>-19058.499999999884</v>
      </c>
      <c r="G27" s="53">
        <f>+GETPIVOTDATA("Sum of "&amp;T(Transactions!$M$19),Pivot!$A$3,"Customer","Hope, AR")</f>
        <v>-1040.7559689685272</v>
      </c>
      <c r="H27" s="53">
        <f>GETPIVOTDATA("Sum of "&amp;T(Transactions!$Q$19),Pivot!$A$3,"Customer",C27)</f>
        <v>0</v>
      </c>
      <c r="I27" s="68">
        <f t="shared" si="0"/>
        <v>-20099.255968968409</v>
      </c>
      <c r="J27" s="69">
        <v>0</v>
      </c>
      <c r="K27" s="70">
        <f t="shared" si="1"/>
        <v>-20099.255968968409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">
      <c r="B28" s="65"/>
      <c r="C28" s="66" t="s">
        <v>16</v>
      </c>
      <c r="D28" s="67">
        <f>GETPIVOTDATA("Sum of "&amp;T(Transactions!$J$19),Pivot!$A$3,"Customer",C28)</f>
        <v>33464</v>
      </c>
      <c r="E28" s="67">
        <f>GETPIVOTDATA("Sum of "&amp;T(Transactions!$K$19),Pivot!$A$3,"Customer",C28)</f>
        <v>35086</v>
      </c>
      <c r="F28" s="67">
        <f t="shared" si="2"/>
        <v>-1622</v>
      </c>
      <c r="G28" s="53">
        <f>+GETPIVOTDATA("Sum of "&amp;T(Transactions!$M$19),Pivot!$A$3,"Customer","Lighthouse")</f>
        <v>-88.574976082427852</v>
      </c>
      <c r="H28" s="53">
        <f>GETPIVOTDATA("Sum of "&amp;T(Transactions!$Q$19),Pivot!$A$3,"Customer",C28)</f>
        <v>0</v>
      </c>
      <c r="I28" s="68">
        <f t="shared" si="0"/>
        <v>-1710.5749760824278</v>
      </c>
      <c r="J28" s="69">
        <v>0</v>
      </c>
      <c r="K28" s="70">
        <f t="shared" si="1"/>
        <v>-1710.5749760824278</v>
      </c>
      <c r="L28" s="65"/>
      <c r="N28" s="52"/>
      <c r="O28" s="53"/>
      <c r="P28" s="53"/>
      <c r="Q28" s="53"/>
      <c r="R28" s="53"/>
      <c r="S28" s="53"/>
    </row>
    <row r="29" spans="2:19" x14ac:dyDescent="0.2">
      <c r="B29" s="65"/>
      <c r="C29" s="71" t="s">
        <v>56</v>
      </c>
      <c r="D29" s="67">
        <f>GETPIVOTDATA("Sum of "&amp;T(Transactions!$J$19),Pivot!$A$3,"Customer",C29)</f>
        <v>278587.8</v>
      </c>
      <c r="E29" s="67">
        <f>GETPIVOTDATA("Sum of "&amp;T(Transactions!$K$19),Pivot!$A$3,"Customer",C29)</f>
        <v>292090.95</v>
      </c>
      <c r="F29" s="67">
        <f t="shared" si="2"/>
        <v>-13503.150000000023</v>
      </c>
      <c r="G29" s="53">
        <f>+GETPIVOTDATA("Sum of "&amp;T(Transactions!$M$19),Pivot!$A$3,"Customer","Minden, LA")</f>
        <v>-737.38667588621195</v>
      </c>
      <c r="H29" s="53">
        <f>GETPIVOTDATA("Sum of "&amp;T(Transactions!$Q$19),Pivot!$A$3,"Customer",C29)</f>
        <v>0</v>
      </c>
      <c r="I29" s="68">
        <f t="shared" si="0"/>
        <v>-14240.536675886235</v>
      </c>
      <c r="J29" s="69">
        <v>0</v>
      </c>
      <c r="K29" s="70">
        <f t="shared" si="1"/>
        <v>-14240.536675886235</v>
      </c>
      <c r="L29" s="65"/>
      <c r="N29" s="52"/>
      <c r="O29" s="53"/>
      <c r="P29" s="53"/>
      <c r="Q29" s="53"/>
      <c r="R29" s="53"/>
      <c r="S29" s="53"/>
    </row>
    <row r="30" spans="2:19" x14ac:dyDescent="0.2">
      <c r="B30" s="65"/>
      <c r="C30" s="71" t="s">
        <v>19</v>
      </c>
      <c r="D30" s="67">
        <f>GETPIVOTDATA("Sum of "&amp;T(Transactions!$J$19),Pivot!$A$3,"Customer",C30)</f>
        <v>532077.60000000009</v>
      </c>
      <c r="E30" s="67">
        <f>GETPIVOTDATA("Sum of "&amp;T(Transactions!$K$19),Pivot!$A$3,"Customer",C30)</f>
        <v>557867.39999999991</v>
      </c>
      <c r="F30" s="67">
        <f t="shared" si="2"/>
        <v>-25789.799999999814</v>
      </c>
      <c r="G30" s="53">
        <f>+GETPIVOTDATA("Sum of "&amp;T(Transactions!$M$19),Pivot!$A$3,"Customer","OG&amp;E")</f>
        <v>-1408.3421197106029</v>
      </c>
      <c r="H30" s="53">
        <f>GETPIVOTDATA("Sum of "&amp;T(Transactions!$Q$19),Pivot!$A$3,"Customer",C30)</f>
        <v>0</v>
      </c>
      <c r="I30" s="68">
        <f t="shared" si="0"/>
        <v>-27198.142119710417</v>
      </c>
      <c r="J30" s="69">
        <v>0</v>
      </c>
      <c r="K30" s="70">
        <f t="shared" si="1"/>
        <v>-27198.142119710417</v>
      </c>
      <c r="L30" s="65"/>
    </row>
    <row r="31" spans="2:19" x14ac:dyDescent="0.2">
      <c r="B31" s="65"/>
      <c r="C31" s="66" t="s">
        <v>8</v>
      </c>
      <c r="D31" s="67">
        <f>GETPIVOTDATA("Sum of "&amp;T(Transactions!$J$19),Pivot!$A$3,"Customer",C31)</f>
        <v>1093436.2</v>
      </c>
      <c r="E31" s="67">
        <f>GETPIVOTDATA("Sum of "&amp;T(Transactions!$K$19),Pivot!$A$3,"Customer",C31)</f>
        <v>1146435.0499999998</v>
      </c>
      <c r="F31" s="67">
        <f t="shared" si="2"/>
        <v>-52998.84999999986</v>
      </c>
      <c r="G31" s="53">
        <f>+GETPIVOTDATA("Sum of "&amp;T(Transactions!$M$19),Pivot!$A$3,"Customer","OMPA")</f>
        <v>-2894.18734349333</v>
      </c>
      <c r="H31" s="53">
        <f>GETPIVOTDATA("Sum of "&amp;T(Transactions!$Q$19),Pivot!$A$3,"Customer",C31)</f>
        <v>0</v>
      </c>
      <c r="I31" s="68">
        <f t="shared" si="0"/>
        <v>-55893.03734349319</v>
      </c>
      <c r="J31" s="69">
        <v>0</v>
      </c>
      <c r="K31" s="70">
        <f t="shared" si="1"/>
        <v>-55893.03734349319</v>
      </c>
      <c r="L31" s="65"/>
    </row>
    <row r="32" spans="2:19" x14ac:dyDescent="0.2">
      <c r="B32" s="65"/>
      <c r="C32" s="66" t="s">
        <v>55</v>
      </c>
      <c r="D32" s="67">
        <f>GETPIVOTDATA("Sum of "&amp;T(Transactions!$J$19),Pivot!$A$3,"Customer",C32)</f>
        <v>109594.59999999999</v>
      </c>
      <c r="E32" s="67">
        <f>GETPIVOTDATA("Sum of "&amp;T(Transactions!$K$19),Pivot!$A$3,"Customer",C32)</f>
        <v>114906.65000000001</v>
      </c>
      <c r="F32" s="67">
        <f t="shared" si="2"/>
        <v>-5312.0500000000175</v>
      </c>
      <c r="G32" s="53">
        <f>+GETPIVOTDATA("Sum of "&amp;T(Transactions!$M$19),Pivot!$A$3,"Customer","Prescott, AR")</f>
        <v>-290.08304666995116</v>
      </c>
      <c r="H32" s="53">
        <f>GETPIVOTDATA("Sum of "&amp;T(Transactions!$Q$19),Pivot!$A$3,"Customer",C32)</f>
        <v>0</v>
      </c>
      <c r="I32" s="68">
        <f t="shared" si="0"/>
        <v>-5602.1330466699683</v>
      </c>
      <c r="J32" s="69">
        <v>0</v>
      </c>
      <c r="K32" s="70">
        <f t="shared" si="1"/>
        <v>-5602.1330466699683</v>
      </c>
      <c r="L32" s="65"/>
    </row>
    <row r="33" spans="2:13" x14ac:dyDescent="0.2">
      <c r="B33" s="65"/>
      <c r="C33" s="73" t="s">
        <v>9</v>
      </c>
      <c r="D33" s="67">
        <f>GETPIVOTDATA("Sum of "&amp;T(Transactions!$J$19),Pivot!$A$3,"Customer",C33)</f>
        <v>470169.2</v>
      </c>
      <c r="E33" s="67">
        <f>GETPIVOTDATA("Sum of "&amp;T(Transactions!$K$19),Pivot!$A$3,"Customer",C33)</f>
        <v>492958.3</v>
      </c>
      <c r="F33" s="67">
        <f t="shared" si="2"/>
        <v>-22789.099999999977</v>
      </c>
      <c r="G33" s="53">
        <f>+GETPIVOTDATA("Sum of "&amp;T(Transactions!$M$19),Pivot!$A$3,"Customer","WFEC")</f>
        <v>-1244.4784139581113</v>
      </c>
      <c r="H33" s="53">
        <f>GETPIVOTDATA("Sum of "&amp;T(Transactions!$Q$19),Pivot!$A$3,"Customer",C33)</f>
        <v>0</v>
      </c>
      <c r="I33" s="68">
        <f t="shared" si="0"/>
        <v>-24033.578413958086</v>
      </c>
      <c r="J33" s="69">
        <v>0</v>
      </c>
      <c r="K33" s="70">
        <f t="shared" si="1"/>
        <v>-24033.578413958086</v>
      </c>
      <c r="L33" s="65"/>
    </row>
    <row r="34" spans="2:13" ht="24" x14ac:dyDescent="0.2">
      <c r="C34" s="74" t="s">
        <v>43</v>
      </c>
      <c r="D34" s="75">
        <f t="shared" ref="D34:J34" si="3">SUM(D21:D33)</f>
        <v>23227362.400000002</v>
      </c>
      <c r="E34" s="75">
        <f t="shared" si="3"/>
        <v>24353192.599999998</v>
      </c>
      <c r="F34" s="75">
        <f t="shared" si="3"/>
        <v>-1125830.1999999993</v>
      </c>
      <c r="G34" s="76">
        <f t="shared" si="3"/>
        <v>-61479.890898813159</v>
      </c>
      <c r="H34" s="76">
        <f t="shared" si="3"/>
        <v>0</v>
      </c>
      <c r="I34" s="77">
        <f t="shared" si="3"/>
        <v>-1187310.0908988125</v>
      </c>
      <c r="J34" s="78">
        <f t="shared" si="3"/>
        <v>0</v>
      </c>
      <c r="K34" s="79">
        <f t="shared" si="1"/>
        <v>-1187310.0908988125</v>
      </c>
    </row>
    <row r="35" spans="2:13" x14ac:dyDescent="0.2">
      <c r="C35" s="80" t="s">
        <v>21</v>
      </c>
      <c r="D35" s="67">
        <f>GETPIVOTDATA("Sum of "&amp;T(Transactions!$J$19),Pivot!$A$3,"Customer",C35)</f>
        <v>32410720.600000005</v>
      </c>
      <c r="E35" s="67">
        <f>GETPIVOTDATA("Sum of "&amp;T(Transactions!$K$19),Pivot!$A$3,"Customer",C35)</f>
        <v>33981668.149999991</v>
      </c>
      <c r="F35" s="67">
        <f t="shared" si="2"/>
        <v>-1570947.5499999858</v>
      </c>
      <c r="G35" s="53">
        <f>+GETPIVOTDATA("Sum of "&amp;T(Transactions!$M$19),Pivot!$A$3,"Customer","PSO")</f>
        <v>-85787.078710233429</v>
      </c>
      <c r="H35" s="53">
        <f>GETPIVOTDATA("Sum of "&amp;T(Transactions!$Q$19),Pivot!$A$3,"Customer",C35)</f>
        <v>0</v>
      </c>
      <c r="I35" s="68">
        <f>F35+G35-H35</f>
        <v>-1656734.6287102192</v>
      </c>
      <c r="J35" s="69">
        <v>0</v>
      </c>
      <c r="K35" s="70">
        <f t="shared" si="1"/>
        <v>-1656734.6287102192</v>
      </c>
    </row>
    <row r="36" spans="2:13" x14ac:dyDescent="0.2">
      <c r="C36" s="81" t="s">
        <v>22</v>
      </c>
      <c r="D36" s="67">
        <f>GETPIVOTDATA("Sum of "&amp;T(Transactions!$J$19),Pivot!$A$3,"Customer",C36)</f>
        <v>30535063.399999999</v>
      </c>
      <c r="E36" s="67">
        <f>GETPIVOTDATA("Sum of "&amp;T(Transactions!$K$19),Pivot!$A$3,"Customer",C36)</f>
        <v>32015097.850000001</v>
      </c>
      <c r="F36" s="67">
        <f>D36-E36</f>
        <v>-1480034.450000003</v>
      </c>
      <c r="G36" s="53">
        <f>+GETPIVOTDATA("Sum of "&amp;T(Transactions!$M$19),Pivot!$A$3,"Customer","SWEPCO")</f>
        <v>-80822.451300813351</v>
      </c>
      <c r="H36" s="53">
        <f>GETPIVOTDATA("Sum of "&amp;T(Transactions!$Q$19),Pivot!$A$3,"Customer",C36)</f>
        <v>0</v>
      </c>
      <c r="I36" s="68">
        <f>F36+G36-H36</f>
        <v>-1560856.9013008163</v>
      </c>
      <c r="J36" s="69">
        <v>0</v>
      </c>
      <c r="K36" s="70">
        <f t="shared" si="1"/>
        <v>-1560856.9013008163</v>
      </c>
    </row>
    <row r="37" spans="2:13" x14ac:dyDescent="0.2">
      <c r="C37" s="82" t="s">
        <v>81</v>
      </c>
      <c r="D37" s="67">
        <f>GETPIVOTDATA("Sum of "&amp;T(Transactions!$J$19),Pivot!$A$3,"Customer",C37)</f>
        <v>1397122.0000000002</v>
      </c>
      <c r="E37" s="67">
        <f>GETPIVOTDATA("Sum of "&amp;T(Transactions!$K$19),Pivot!$A$3,"Customer",C37)</f>
        <v>1464840.4999999998</v>
      </c>
      <c r="F37" s="67">
        <f>D37-E37</f>
        <v>-67718.499999999534</v>
      </c>
      <c r="G37" s="53">
        <f>+GETPIVOTDATA("Sum of "&amp;T(Transactions!$M$19),Pivot!$A$3,"Customer","SWEPCO-Valley")</f>
        <v>-3698.0052514413628</v>
      </c>
      <c r="H37" s="53">
        <f>GETPIVOTDATA("Sum of "&amp;T(Transactions!$Q$19),Pivot!$A$3,"Customer",C37)</f>
        <v>0</v>
      </c>
      <c r="I37" s="68">
        <f>F37+G37-H37</f>
        <v>-71416.505251440904</v>
      </c>
      <c r="J37" s="69">
        <v>0</v>
      </c>
      <c r="K37" s="70">
        <f t="shared" si="1"/>
        <v>-71416.505251440904</v>
      </c>
    </row>
    <row r="38" spans="2:13" ht="24" x14ac:dyDescent="0.2">
      <c r="C38" s="83" t="s">
        <v>51</v>
      </c>
      <c r="D38" s="84">
        <f t="shared" ref="D38:I38" si="4">SUM(D35:D37)</f>
        <v>64342906</v>
      </c>
      <c r="E38" s="84">
        <f t="shared" si="4"/>
        <v>67461606.499999985</v>
      </c>
      <c r="F38" s="84">
        <f t="shared" si="4"/>
        <v>-3118700.4999999884</v>
      </c>
      <c r="G38" s="85">
        <f t="shared" si="4"/>
        <v>-170307.53526248815</v>
      </c>
      <c r="H38" s="85">
        <f t="shared" si="4"/>
        <v>0</v>
      </c>
      <c r="I38" s="86">
        <f t="shared" si="4"/>
        <v>-3289008.0352624762</v>
      </c>
      <c r="J38" s="87">
        <f>SUM(J35:J37)</f>
        <v>0</v>
      </c>
      <c r="K38" s="88">
        <f t="shared" si="1"/>
        <v>-3289008.0352624762</v>
      </c>
      <c r="M38" s="89"/>
    </row>
    <row r="39" spans="2:13" ht="23.25" customHeight="1" thickBot="1" x14ac:dyDescent="0.25">
      <c r="C39" s="90" t="s">
        <v>44</v>
      </c>
      <c r="D39" s="91">
        <f t="shared" ref="D39:I39" si="5">SUM(D34,D38)</f>
        <v>87570268.400000006</v>
      </c>
      <c r="E39" s="92">
        <f t="shared" si="5"/>
        <v>91814799.099999979</v>
      </c>
      <c r="F39" s="91">
        <f t="shared" si="5"/>
        <v>-4244530.6999999881</v>
      </c>
      <c r="G39" s="92">
        <f t="shared" si="5"/>
        <v>-231787.42616130132</v>
      </c>
      <c r="H39" s="92">
        <f t="shared" si="5"/>
        <v>0</v>
      </c>
      <c r="I39" s="93">
        <f t="shared" si="5"/>
        <v>-4476318.1261612885</v>
      </c>
      <c r="J39" s="94">
        <f>SUM(J34,J38)</f>
        <v>0</v>
      </c>
      <c r="K39" s="95">
        <f t="shared" si="1"/>
        <v>-4476318.1261612885</v>
      </c>
      <c r="L39" s="95"/>
      <c r="M39" s="89"/>
    </row>
    <row r="40" spans="2:13" x14ac:dyDescent="0.2">
      <c r="E40" s="52"/>
      <c r="F40" s="52"/>
      <c r="G40" s="52"/>
      <c r="H40" s="52"/>
    </row>
    <row r="41" spans="2:13" x14ac:dyDescent="0.2">
      <c r="K41" s="96"/>
    </row>
    <row r="42" spans="2:13" x14ac:dyDescent="0.2">
      <c r="D42" s="65"/>
    </row>
    <row r="43" spans="2:13" x14ac:dyDescent="0.2">
      <c r="K43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I95" activePane="bottomRight" state="frozen"/>
      <selection pane="topRight" activeCell="C1" sqref="C1"/>
      <selection pane="bottomLeft" activeCell="A5" sqref="A5"/>
      <selection pane="bottomRight" activeCell="I104" sqref="I104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1.5703125" style="1" bestFit="1" customWidth="1"/>
    <col min="16" max="16384" width="8.7109375" style="1"/>
  </cols>
  <sheetData>
    <row r="3" spans="1:15" x14ac:dyDescent="0.2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">
      <c r="A4" s="99" t="s">
        <v>0</v>
      </c>
      <c r="B4" s="99" t="s">
        <v>24</v>
      </c>
      <c r="C4" s="101">
        <v>44562</v>
      </c>
      <c r="D4" s="102">
        <v>44593</v>
      </c>
      <c r="E4" s="102">
        <v>44621</v>
      </c>
      <c r="F4" s="102">
        <v>44652</v>
      </c>
      <c r="G4" s="102">
        <v>44682</v>
      </c>
      <c r="H4" s="102">
        <v>44713</v>
      </c>
      <c r="I4" s="102">
        <v>44743</v>
      </c>
      <c r="J4" s="102">
        <v>44774</v>
      </c>
      <c r="K4" s="102">
        <v>44805</v>
      </c>
      <c r="L4" s="102">
        <v>44835</v>
      </c>
      <c r="M4" s="102">
        <v>44866</v>
      </c>
      <c r="N4" s="102">
        <v>44896</v>
      </c>
      <c r="O4" s="103" t="s">
        <v>18</v>
      </c>
    </row>
    <row r="5" spans="1:15" x14ac:dyDescent="0.2">
      <c r="A5" s="97" t="s">
        <v>14</v>
      </c>
      <c r="B5" s="97" t="s">
        <v>70</v>
      </c>
      <c r="C5" s="104">
        <v>747083.8</v>
      </c>
      <c r="D5" s="105">
        <v>665933.6</v>
      </c>
      <c r="E5" s="105">
        <v>585620</v>
      </c>
      <c r="F5" s="105">
        <v>459293.4</v>
      </c>
      <c r="G5" s="105">
        <v>629959.80000000005</v>
      </c>
      <c r="H5" s="105">
        <v>788077.20000000007</v>
      </c>
      <c r="I5" s="105">
        <v>866717.6</v>
      </c>
      <c r="J5" s="105">
        <v>798116.4</v>
      </c>
      <c r="K5" s="105">
        <v>719476</v>
      </c>
      <c r="L5" s="105">
        <v>492757.4</v>
      </c>
      <c r="M5" s="105">
        <v>610718</v>
      </c>
      <c r="N5" s="105">
        <v>939501.8</v>
      </c>
      <c r="O5" s="106">
        <v>8303255</v>
      </c>
    </row>
    <row r="6" spans="1:15" x14ac:dyDescent="0.2">
      <c r="A6" s="230"/>
      <c r="B6" s="107" t="s">
        <v>25</v>
      </c>
      <c r="C6" s="240">
        <v>-36211.149999999907</v>
      </c>
      <c r="D6" s="241">
        <v>-32277.800000000047</v>
      </c>
      <c r="E6" s="241">
        <v>-28385</v>
      </c>
      <c r="F6" s="241">
        <v>-22261.949999999953</v>
      </c>
      <c r="G6" s="241">
        <v>-30534.149999999907</v>
      </c>
      <c r="H6" s="241">
        <v>-38198.09999999986</v>
      </c>
      <c r="I6" s="241">
        <v>-42009.800000000047</v>
      </c>
      <c r="J6" s="241">
        <v>-38684.699999999953</v>
      </c>
      <c r="K6" s="241">
        <v>-34873</v>
      </c>
      <c r="L6" s="241">
        <v>-23883.949999999953</v>
      </c>
      <c r="M6" s="241">
        <v>-29601.5</v>
      </c>
      <c r="N6" s="241">
        <v>-45537.649999999907</v>
      </c>
      <c r="O6" s="242">
        <v>-402458.74999999953</v>
      </c>
    </row>
    <row r="7" spans="1:15" x14ac:dyDescent="0.2">
      <c r="A7" s="230"/>
      <c r="B7" s="107" t="s">
        <v>26</v>
      </c>
      <c r="C7" s="240">
        <v>-1977.4363410402018</v>
      </c>
      <c r="D7" s="241">
        <v>-1762.6420240403143</v>
      </c>
      <c r="E7" s="241">
        <v>-1550.0620814424874</v>
      </c>
      <c r="F7" s="241">
        <v>-1215.6915467313222</v>
      </c>
      <c r="G7" s="241">
        <v>-1667.4239247517044</v>
      </c>
      <c r="H7" s="241">
        <v>-2085.9406867411763</v>
      </c>
      <c r="I7" s="241">
        <v>-2294.0918805348815</v>
      </c>
      <c r="J7" s="241">
        <v>-2112.513179565904</v>
      </c>
      <c r="K7" s="241">
        <v>-1904.361985772199</v>
      </c>
      <c r="L7" s="241">
        <v>-1304.26652281375</v>
      </c>
      <c r="M7" s="241">
        <v>-1616.4933135043084</v>
      </c>
      <c r="N7" s="241">
        <v>-2486.7424535141618</v>
      </c>
      <c r="O7" s="242">
        <v>-21977.665940452411</v>
      </c>
    </row>
    <row r="8" spans="1:15" x14ac:dyDescent="0.2">
      <c r="A8" s="230"/>
      <c r="B8" s="107" t="s">
        <v>27</v>
      </c>
      <c r="C8" s="240">
        <v>-38188.586341040107</v>
      </c>
      <c r="D8" s="241">
        <v>-34040.442024040363</v>
      </c>
      <c r="E8" s="241">
        <v>-29935.062081442487</v>
      </c>
      <c r="F8" s="241">
        <v>-23477.641546731276</v>
      </c>
      <c r="G8" s="241">
        <v>-32201.57392475161</v>
      </c>
      <c r="H8" s="241">
        <v>-40284.040686741035</v>
      </c>
      <c r="I8" s="241">
        <v>-44303.891880534931</v>
      </c>
      <c r="J8" s="241">
        <v>-40797.213179565857</v>
      </c>
      <c r="K8" s="241">
        <v>-36777.361985772201</v>
      </c>
      <c r="L8" s="241">
        <v>-25188.216522813702</v>
      </c>
      <c r="M8" s="241">
        <v>-31217.99331350431</v>
      </c>
      <c r="N8" s="241">
        <v>-48024.392453514069</v>
      </c>
      <c r="O8" s="242">
        <v>-424436.41594045202</v>
      </c>
    </row>
    <row r="9" spans="1:15" x14ac:dyDescent="0.2">
      <c r="A9" s="230"/>
      <c r="B9" s="107" t="s">
        <v>49</v>
      </c>
      <c r="C9" s="108">
        <v>783294.95</v>
      </c>
      <c r="D9" s="96">
        <v>698211.4</v>
      </c>
      <c r="E9" s="96">
        <v>614005</v>
      </c>
      <c r="F9" s="96">
        <v>481555.35</v>
      </c>
      <c r="G9" s="96">
        <v>660493.94999999995</v>
      </c>
      <c r="H9" s="96">
        <v>826275.29999999993</v>
      </c>
      <c r="I9" s="96">
        <v>908727.4</v>
      </c>
      <c r="J9" s="96">
        <v>836801.1</v>
      </c>
      <c r="K9" s="96">
        <v>754349</v>
      </c>
      <c r="L9" s="96">
        <v>516641.35</v>
      </c>
      <c r="M9" s="96">
        <v>640319.5</v>
      </c>
      <c r="N9" s="96">
        <v>985039.45</v>
      </c>
      <c r="O9" s="109">
        <v>8705713.75</v>
      </c>
    </row>
    <row r="10" spans="1:15" x14ac:dyDescent="0.2">
      <c r="A10" s="230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">
      <c r="A11" s="230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">
      <c r="A12" s="97" t="s">
        <v>17</v>
      </c>
      <c r="B12" s="97" t="s">
        <v>70</v>
      </c>
      <c r="C12" s="104">
        <v>88679.6</v>
      </c>
      <c r="D12" s="105">
        <v>84496.6</v>
      </c>
      <c r="E12" s="105">
        <v>81150.2</v>
      </c>
      <c r="F12" s="105">
        <v>81986.8</v>
      </c>
      <c r="G12" s="105">
        <v>87006.400000000009</v>
      </c>
      <c r="H12" s="105">
        <v>96209</v>
      </c>
      <c r="I12" s="105">
        <v>35137.200000000004</v>
      </c>
      <c r="J12" s="105">
        <v>34300.6</v>
      </c>
      <c r="K12" s="105">
        <v>96209</v>
      </c>
      <c r="L12" s="105">
        <v>87843</v>
      </c>
      <c r="M12" s="105">
        <v>87006.400000000009</v>
      </c>
      <c r="N12" s="105">
        <v>87006.400000000009</v>
      </c>
      <c r="O12" s="106">
        <v>947031.20000000007</v>
      </c>
    </row>
    <row r="13" spans="1:15" x14ac:dyDescent="0.2">
      <c r="A13" s="230"/>
      <c r="B13" s="107" t="s">
        <v>25</v>
      </c>
      <c r="C13" s="240">
        <v>-4298.2999999999884</v>
      </c>
      <c r="D13" s="241">
        <v>-4095.5499999999884</v>
      </c>
      <c r="E13" s="241">
        <v>-3933.3500000000058</v>
      </c>
      <c r="F13" s="241">
        <v>-3973.8999999999942</v>
      </c>
      <c r="G13" s="241">
        <v>-4217.1999999999825</v>
      </c>
      <c r="H13" s="241">
        <v>-4663.25</v>
      </c>
      <c r="I13" s="241">
        <v>-1703.0999999999913</v>
      </c>
      <c r="J13" s="241">
        <v>-1662.5500000000029</v>
      </c>
      <c r="K13" s="241">
        <v>-4663.25</v>
      </c>
      <c r="L13" s="241">
        <v>-4257.75</v>
      </c>
      <c r="M13" s="241">
        <v>-4217.1999999999825</v>
      </c>
      <c r="N13" s="241">
        <v>-4217.1999999999825</v>
      </c>
      <c r="O13" s="242">
        <v>-45902.599999999919</v>
      </c>
    </row>
    <row r="14" spans="1:15" x14ac:dyDescent="0.2">
      <c r="A14" s="230"/>
      <c r="B14" s="107" t="s">
        <v>26</v>
      </c>
      <c r="C14" s="240">
        <v>-234.72368661843382</v>
      </c>
      <c r="D14" s="241">
        <v>-223.65181460813031</v>
      </c>
      <c r="E14" s="241">
        <v>-214.79431699988754</v>
      </c>
      <c r="F14" s="241">
        <v>-217.00869140194823</v>
      </c>
      <c r="G14" s="241">
        <v>-230.29493781431239</v>
      </c>
      <c r="H14" s="241">
        <v>-254.65305623698009</v>
      </c>
      <c r="I14" s="241">
        <v>-93.00372488654925</v>
      </c>
      <c r="J14" s="241">
        <v>-90.789350484488537</v>
      </c>
      <c r="K14" s="241">
        <v>-254.65305623698009</v>
      </c>
      <c r="L14" s="241">
        <v>-232.50931221637313</v>
      </c>
      <c r="M14" s="241">
        <v>-230.29493781431239</v>
      </c>
      <c r="N14" s="241">
        <v>-230.29493781431239</v>
      </c>
      <c r="O14" s="242">
        <v>-2506.6718231327086</v>
      </c>
    </row>
    <row r="15" spans="1:15" x14ac:dyDescent="0.2">
      <c r="A15" s="230"/>
      <c r="B15" s="107" t="s">
        <v>27</v>
      </c>
      <c r="C15" s="240">
        <v>-4533.0236866184223</v>
      </c>
      <c r="D15" s="241">
        <v>-4319.2018146081191</v>
      </c>
      <c r="E15" s="241">
        <v>-4148.1443169998929</v>
      </c>
      <c r="F15" s="241">
        <v>-4190.9086914019426</v>
      </c>
      <c r="G15" s="241">
        <v>-4447.4949378142946</v>
      </c>
      <c r="H15" s="241">
        <v>-4917.9030562369799</v>
      </c>
      <c r="I15" s="241">
        <v>-1796.1037248865405</v>
      </c>
      <c r="J15" s="241">
        <v>-1753.3393504844914</v>
      </c>
      <c r="K15" s="241">
        <v>-4917.9030562369799</v>
      </c>
      <c r="L15" s="241">
        <v>-4490.2593122163735</v>
      </c>
      <c r="M15" s="241">
        <v>-4447.4949378142946</v>
      </c>
      <c r="N15" s="241">
        <v>-4447.4949378142946</v>
      </c>
      <c r="O15" s="242">
        <v>-48409.271823132622</v>
      </c>
    </row>
    <row r="16" spans="1:15" x14ac:dyDescent="0.2">
      <c r="A16" s="230"/>
      <c r="B16" s="107" t="s">
        <v>49</v>
      </c>
      <c r="C16" s="108">
        <v>92977.9</v>
      </c>
      <c r="D16" s="96">
        <v>88592.15</v>
      </c>
      <c r="E16" s="96">
        <v>85083.55</v>
      </c>
      <c r="F16" s="96">
        <v>85960.7</v>
      </c>
      <c r="G16" s="96">
        <v>91223.599999999991</v>
      </c>
      <c r="H16" s="96">
        <v>100872.25</v>
      </c>
      <c r="I16" s="96">
        <v>36840.299999999996</v>
      </c>
      <c r="J16" s="96">
        <v>35963.15</v>
      </c>
      <c r="K16" s="96">
        <v>100872.25</v>
      </c>
      <c r="L16" s="96">
        <v>92100.75</v>
      </c>
      <c r="M16" s="96">
        <v>91223.599999999991</v>
      </c>
      <c r="N16" s="96">
        <v>91223.599999999991</v>
      </c>
      <c r="O16" s="109">
        <v>992933.79999999993</v>
      </c>
    </row>
    <row r="17" spans="1:15" x14ac:dyDescent="0.2">
      <c r="A17" s="230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">
      <c r="A18" s="230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">
      <c r="A19" s="97" t="s">
        <v>13</v>
      </c>
      <c r="B19" s="97" t="s">
        <v>70</v>
      </c>
      <c r="C19" s="104">
        <v>874247</v>
      </c>
      <c r="D19" s="105">
        <v>931972.4</v>
      </c>
      <c r="E19" s="105">
        <v>817358.20000000007</v>
      </c>
      <c r="F19" s="105">
        <v>450927.4</v>
      </c>
      <c r="G19" s="105">
        <v>630796.4</v>
      </c>
      <c r="H19" s="105">
        <v>791423.6</v>
      </c>
      <c r="I19" s="105">
        <v>819031.4</v>
      </c>
      <c r="J19" s="105">
        <v>814011.8</v>
      </c>
      <c r="K19" s="105">
        <v>708600.20000000007</v>
      </c>
      <c r="L19" s="105">
        <v>509489.4</v>
      </c>
      <c r="M19" s="105">
        <v>675136.20000000007</v>
      </c>
      <c r="N19" s="105">
        <v>1199684.4000000001</v>
      </c>
      <c r="O19" s="106">
        <v>9222678.4000000004</v>
      </c>
    </row>
    <row r="20" spans="1:15" x14ac:dyDescent="0.2">
      <c r="A20" s="230"/>
      <c r="B20" s="107" t="s">
        <v>25</v>
      </c>
      <c r="C20" s="240">
        <v>-42374.75</v>
      </c>
      <c r="D20" s="241">
        <v>-45172.699999999953</v>
      </c>
      <c r="E20" s="241">
        <v>-39617.34999999986</v>
      </c>
      <c r="F20" s="241">
        <v>-21856.449999999953</v>
      </c>
      <c r="G20" s="241">
        <v>-30574.699999999953</v>
      </c>
      <c r="H20" s="241">
        <v>-38360.300000000047</v>
      </c>
      <c r="I20" s="241">
        <v>-39698.449999999953</v>
      </c>
      <c r="J20" s="241">
        <v>-39455.149999999907</v>
      </c>
      <c r="K20" s="241">
        <v>-34345.84999999986</v>
      </c>
      <c r="L20" s="241">
        <v>-24694.949999999953</v>
      </c>
      <c r="M20" s="241">
        <v>-32723.84999999986</v>
      </c>
      <c r="N20" s="241">
        <v>-58148.699999999721</v>
      </c>
      <c r="O20" s="242">
        <v>-447023.19999999902</v>
      </c>
    </row>
    <row r="21" spans="1:15" x14ac:dyDescent="0.2">
      <c r="A21" s="230"/>
      <c r="B21" s="107" t="s">
        <v>26</v>
      </c>
      <c r="C21" s="240">
        <v>-2314.0212501534279</v>
      </c>
      <c r="D21" s="241">
        <v>-2466.8130838956158</v>
      </c>
      <c r="E21" s="241">
        <v>-2163.4437908133</v>
      </c>
      <c r="F21" s="241">
        <v>-1193.5478027107154</v>
      </c>
      <c r="G21" s="241">
        <v>-1669.638299153765</v>
      </c>
      <c r="H21" s="241">
        <v>-2094.798184349419</v>
      </c>
      <c r="I21" s="241">
        <v>-2167.8725396174214</v>
      </c>
      <c r="J21" s="241">
        <v>-2154.5862932050572</v>
      </c>
      <c r="K21" s="241">
        <v>-1875.5751185454099</v>
      </c>
      <c r="L21" s="241">
        <v>-1348.554010854964</v>
      </c>
      <c r="M21" s="241">
        <v>-1787.0001424629818</v>
      </c>
      <c r="N21" s="241">
        <v>-3175.4128925550385</v>
      </c>
      <c r="O21" s="242">
        <v>-24411.263408317118</v>
      </c>
    </row>
    <row r="22" spans="1:15" x14ac:dyDescent="0.2">
      <c r="A22" s="230"/>
      <c r="B22" s="107" t="s">
        <v>27</v>
      </c>
      <c r="C22" s="240">
        <v>-44688.771250153426</v>
      </c>
      <c r="D22" s="241">
        <v>-47639.513083895567</v>
      </c>
      <c r="E22" s="241">
        <v>-41780.793790813157</v>
      </c>
      <c r="F22" s="241">
        <v>-23049.99780271067</v>
      </c>
      <c r="G22" s="241">
        <v>-32244.338299153718</v>
      </c>
      <c r="H22" s="241">
        <v>-40455.098184349466</v>
      </c>
      <c r="I22" s="241">
        <v>-41866.322539617373</v>
      </c>
      <c r="J22" s="241">
        <v>-41609.736293204965</v>
      </c>
      <c r="K22" s="241">
        <v>-36221.425118545267</v>
      </c>
      <c r="L22" s="241">
        <v>-26043.504010854918</v>
      </c>
      <c r="M22" s="241">
        <v>-34510.850142462841</v>
      </c>
      <c r="N22" s="241">
        <v>-61324.11289255476</v>
      </c>
      <c r="O22" s="242">
        <v>-471434.46340831614</v>
      </c>
    </row>
    <row r="23" spans="1:15" x14ac:dyDescent="0.2">
      <c r="A23" s="230"/>
      <c r="B23" s="107" t="s">
        <v>49</v>
      </c>
      <c r="C23" s="108">
        <v>916621.75</v>
      </c>
      <c r="D23" s="96">
        <v>977145.1</v>
      </c>
      <c r="E23" s="96">
        <v>856975.54999999993</v>
      </c>
      <c r="F23" s="96">
        <v>472783.85</v>
      </c>
      <c r="G23" s="96">
        <v>661371.1</v>
      </c>
      <c r="H23" s="96">
        <v>829783.9</v>
      </c>
      <c r="I23" s="96">
        <v>858729.85</v>
      </c>
      <c r="J23" s="96">
        <v>853466.95</v>
      </c>
      <c r="K23" s="96">
        <v>742946.04999999993</v>
      </c>
      <c r="L23" s="96">
        <v>534184.35</v>
      </c>
      <c r="M23" s="96">
        <v>707860.04999999993</v>
      </c>
      <c r="N23" s="96">
        <v>1257833.0999999999</v>
      </c>
      <c r="O23" s="109">
        <v>9669701.5999999996</v>
      </c>
    </row>
    <row r="24" spans="1:15" x14ac:dyDescent="0.2">
      <c r="A24" s="230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">
      <c r="A25" s="230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">
      <c r="A26" s="97" t="s">
        <v>15</v>
      </c>
      <c r="B26" s="97" t="s">
        <v>70</v>
      </c>
      <c r="C26" s="104">
        <v>6692.8</v>
      </c>
      <c r="D26" s="105">
        <v>5856.2</v>
      </c>
      <c r="E26" s="105">
        <v>4183</v>
      </c>
      <c r="F26" s="105">
        <v>5856.2</v>
      </c>
      <c r="G26" s="105">
        <v>8366</v>
      </c>
      <c r="H26" s="105">
        <v>11712.4</v>
      </c>
      <c r="I26" s="105">
        <v>15058.800000000001</v>
      </c>
      <c r="J26" s="105">
        <v>13385.6</v>
      </c>
      <c r="K26" s="105">
        <v>7529.4000000000005</v>
      </c>
      <c r="L26" s="105">
        <v>5019.6000000000004</v>
      </c>
      <c r="M26" s="105">
        <v>5019.6000000000004</v>
      </c>
      <c r="N26" s="105">
        <v>6692.8</v>
      </c>
      <c r="O26" s="106">
        <v>95372.400000000009</v>
      </c>
    </row>
    <row r="27" spans="1:15" x14ac:dyDescent="0.2">
      <c r="A27" s="230"/>
      <c r="B27" s="107" t="s">
        <v>25</v>
      </c>
      <c r="C27" s="240">
        <v>-324.39999999999964</v>
      </c>
      <c r="D27" s="241">
        <v>-283.85000000000036</v>
      </c>
      <c r="E27" s="241">
        <v>-202.75</v>
      </c>
      <c r="F27" s="241">
        <v>-283.85000000000036</v>
      </c>
      <c r="G27" s="241">
        <v>-405.5</v>
      </c>
      <c r="H27" s="241">
        <v>-567.70000000000073</v>
      </c>
      <c r="I27" s="241">
        <v>-729.89999999999782</v>
      </c>
      <c r="J27" s="241">
        <v>-648.79999999999927</v>
      </c>
      <c r="K27" s="241">
        <v>-364.94999999999891</v>
      </c>
      <c r="L27" s="241">
        <v>-243.29999999999927</v>
      </c>
      <c r="M27" s="241">
        <v>-243.29999999999927</v>
      </c>
      <c r="N27" s="241">
        <v>-324.39999999999964</v>
      </c>
      <c r="O27" s="242">
        <v>-4622.6999999999953</v>
      </c>
    </row>
    <row r="28" spans="1:15" x14ac:dyDescent="0.2">
      <c r="A28" s="230"/>
      <c r="B28" s="107" t="s">
        <v>26</v>
      </c>
      <c r="C28" s="240">
        <v>-17.714995216485573</v>
      </c>
      <c r="D28" s="241">
        <v>-15.500620814424872</v>
      </c>
      <c r="E28" s="241">
        <v>-11.071872010303482</v>
      </c>
      <c r="F28" s="241">
        <v>-15.500620814424872</v>
      </c>
      <c r="G28" s="241">
        <v>-22.143744020606963</v>
      </c>
      <c r="H28" s="241">
        <v>-31.001241628849744</v>
      </c>
      <c r="I28" s="241">
        <v>-39.858739237092536</v>
      </c>
      <c r="J28" s="241">
        <v>-35.429990432971145</v>
      </c>
      <c r="K28" s="241">
        <v>-19.929369618546268</v>
      </c>
      <c r="L28" s="241">
        <v>-13.286246412364177</v>
      </c>
      <c r="M28" s="241">
        <v>-13.286246412364177</v>
      </c>
      <c r="N28" s="241">
        <v>-17.714995216485573</v>
      </c>
      <c r="O28" s="242">
        <v>-252.43868183491935</v>
      </c>
    </row>
    <row r="29" spans="1:15" x14ac:dyDescent="0.2">
      <c r="A29" s="230"/>
      <c r="B29" s="107" t="s">
        <v>27</v>
      </c>
      <c r="C29" s="240">
        <v>-342.11499521648523</v>
      </c>
      <c r="D29" s="241">
        <v>-299.35062081442521</v>
      </c>
      <c r="E29" s="241">
        <v>-213.82187201030348</v>
      </c>
      <c r="F29" s="241">
        <v>-299.35062081442521</v>
      </c>
      <c r="G29" s="241">
        <v>-427.64374402060696</v>
      </c>
      <c r="H29" s="241">
        <v>-598.70124162885043</v>
      </c>
      <c r="I29" s="241">
        <v>-769.75873923709037</v>
      </c>
      <c r="J29" s="241">
        <v>-684.22999043297045</v>
      </c>
      <c r="K29" s="241">
        <v>-384.87936961854518</v>
      </c>
      <c r="L29" s="241">
        <v>-256.58624641236344</v>
      </c>
      <c r="M29" s="241">
        <v>-256.58624641236344</v>
      </c>
      <c r="N29" s="241">
        <v>-342.11499521648523</v>
      </c>
      <c r="O29" s="242">
        <v>-4875.1386818349147</v>
      </c>
    </row>
    <row r="30" spans="1:15" x14ac:dyDescent="0.2">
      <c r="A30" s="230"/>
      <c r="B30" s="107" t="s">
        <v>49</v>
      </c>
      <c r="C30" s="108">
        <v>7017.2</v>
      </c>
      <c r="D30" s="96">
        <v>6140.05</v>
      </c>
      <c r="E30" s="96">
        <v>4385.75</v>
      </c>
      <c r="F30" s="96">
        <v>6140.05</v>
      </c>
      <c r="G30" s="96">
        <v>8771.5</v>
      </c>
      <c r="H30" s="96">
        <v>12280.1</v>
      </c>
      <c r="I30" s="96">
        <v>15788.699999999999</v>
      </c>
      <c r="J30" s="96">
        <v>14034.4</v>
      </c>
      <c r="K30" s="96">
        <v>7894.3499999999995</v>
      </c>
      <c r="L30" s="96">
        <v>5262.9</v>
      </c>
      <c r="M30" s="96">
        <v>5262.9</v>
      </c>
      <c r="N30" s="96">
        <v>7017.2</v>
      </c>
      <c r="O30" s="109">
        <v>99995.099999999991</v>
      </c>
    </row>
    <row r="31" spans="1:15" x14ac:dyDescent="0.2">
      <c r="A31" s="230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">
      <c r="A32" s="230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">
      <c r="A33" s="97" t="s">
        <v>16</v>
      </c>
      <c r="B33" s="97" t="s">
        <v>70</v>
      </c>
      <c r="C33" s="104">
        <v>2509.8000000000002</v>
      </c>
      <c r="D33" s="105">
        <v>1673.2</v>
      </c>
      <c r="E33" s="105">
        <v>2509.8000000000002</v>
      </c>
      <c r="F33" s="105">
        <v>1673.2</v>
      </c>
      <c r="G33" s="105">
        <v>2509.8000000000002</v>
      </c>
      <c r="H33" s="105">
        <v>4183</v>
      </c>
      <c r="I33" s="105">
        <v>5019.6000000000004</v>
      </c>
      <c r="J33" s="105">
        <v>5019.6000000000004</v>
      </c>
      <c r="K33" s="105">
        <v>2509.8000000000002</v>
      </c>
      <c r="L33" s="105">
        <v>1673.2</v>
      </c>
      <c r="M33" s="105">
        <v>836.6</v>
      </c>
      <c r="N33" s="105">
        <v>3346.4</v>
      </c>
      <c r="O33" s="106">
        <v>33464</v>
      </c>
    </row>
    <row r="34" spans="1:15" x14ac:dyDescent="0.2">
      <c r="A34" s="230"/>
      <c r="B34" s="107" t="s">
        <v>25</v>
      </c>
      <c r="C34" s="240">
        <v>-121.64999999999964</v>
      </c>
      <c r="D34" s="241">
        <v>-81.099999999999909</v>
      </c>
      <c r="E34" s="241">
        <v>-121.64999999999964</v>
      </c>
      <c r="F34" s="241">
        <v>-81.099999999999909</v>
      </c>
      <c r="G34" s="241">
        <v>-121.64999999999964</v>
      </c>
      <c r="H34" s="241">
        <v>-202.75</v>
      </c>
      <c r="I34" s="241">
        <v>-243.29999999999927</v>
      </c>
      <c r="J34" s="241">
        <v>-243.29999999999927</v>
      </c>
      <c r="K34" s="241">
        <v>-121.64999999999964</v>
      </c>
      <c r="L34" s="241">
        <v>-81.099999999999909</v>
      </c>
      <c r="M34" s="241">
        <v>-40.549999999999955</v>
      </c>
      <c r="N34" s="241">
        <v>-162.19999999999982</v>
      </c>
      <c r="O34" s="242">
        <v>-1621.9999999999966</v>
      </c>
    </row>
    <row r="35" spans="1:15" x14ac:dyDescent="0.2">
      <c r="A35" s="230"/>
      <c r="B35" s="107" t="s">
        <v>26</v>
      </c>
      <c r="C35" s="240">
        <v>-6.6431232061820884</v>
      </c>
      <c r="D35" s="241">
        <v>-4.4287488041213932</v>
      </c>
      <c r="E35" s="241">
        <v>-6.6431232061820884</v>
      </c>
      <c r="F35" s="241">
        <v>-4.4287488041213932</v>
      </c>
      <c r="G35" s="241">
        <v>-6.6431232061820884</v>
      </c>
      <c r="H35" s="241">
        <v>-11.071872010303482</v>
      </c>
      <c r="I35" s="241">
        <v>-13.286246412364177</v>
      </c>
      <c r="J35" s="241">
        <v>-13.286246412364177</v>
      </c>
      <c r="K35" s="241">
        <v>-6.6431232061820884</v>
      </c>
      <c r="L35" s="241">
        <v>-4.4287488041213932</v>
      </c>
      <c r="M35" s="241">
        <v>-2.2143744020606966</v>
      </c>
      <c r="N35" s="241">
        <v>-8.8574976082427863</v>
      </c>
      <c r="O35" s="242">
        <v>-88.574976082427852</v>
      </c>
    </row>
    <row r="36" spans="1:15" x14ac:dyDescent="0.2">
      <c r="A36" s="230"/>
      <c r="B36" s="107" t="s">
        <v>27</v>
      </c>
      <c r="C36" s="240">
        <v>-128.29312320618172</v>
      </c>
      <c r="D36" s="241">
        <v>-85.528748804121307</v>
      </c>
      <c r="E36" s="241">
        <v>-128.29312320618172</v>
      </c>
      <c r="F36" s="241">
        <v>-85.528748804121307</v>
      </c>
      <c r="G36" s="241">
        <v>-128.29312320618172</v>
      </c>
      <c r="H36" s="241">
        <v>-213.82187201030348</v>
      </c>
      <c r="I36" s="241">
        <v>-256.58624641236344</v>
      </c>
      <c r="J36" s="241">
        <v>-256.58624641236344</v>
      </c>
      <c r="K36" s="241">
        <v>-128.29312320618172</v>
      </c>
      <c r="L36" s="241">
        <v>-85.528748804121307</v>
      </c>
      <c r="M36" s="241">
        <v>-42.764374402060653</v>
      </c>
      <c r="N36" s="241">
        <v>-171.05749760824261</v>
      </c>
      <c r="O36" s="242">
        <v>-1710.5749760824242</v>
      </c>
    </row>
    <row r="37" spans="1:15" x14ac:dyDescent="0.2">
      <c r="A37" s="230"/>
      <c r="B37" s="107" t="s">
        <v>49</v>
      </c>
      <c r="C37" s="108">
        <v>2631.45</v>
      </c>
      <c r="D37" s="96">
        <v>1754.3</v>
      </c>
      <c r="E37" s="96">
        <v>2631.45</v>
      </c>
      <c r="F37" s="96">
        <v>1754.3</v>
      </c>
      <c r="G37" s="96">
        <v>2631.45</v>
      </c>
      <c r="H37" s="96">
        <v>4385.75</v>
      </c>
      <c r="I37" s="96">
        <v>5262.9</v>
      </c>
      <c r="J37" s="96">
        <v>5262.9</v>
      </c>
      <c r="K37" s="96">
        <v>2631.45</v>
      </c>
      <c r="L37" s="96">
        <v>1754.3</v>
      </c>
      <c r="M37" s="96">
        <v>877.15</v>
      </c>
      <c r="N37" s="96">
        <v>3508.6</v>
      </c>
      <c r="O37" s="109">
        <v>35086</v>
      </c>
    </row>
    <row r="38" spans="1:15" x14ac:dyDescent="0.2">
      <c r="A38" s="230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">
      <c r="A39" s="230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">
      <c r="A40" s="97" t="s">
        <v>19</v>
      </c>
      <c r="B40" s="97" t="s">
        <v>70</v>
      </c>
      <c r="C40" s="104">
        <v>35137.200000000004</v>
      </c>
      <c r="D40" s="105">
        <v>35973.800000000003</v>
      </c>
      <c r="E40" s="105">
        <v>35137.200000000004</v>
      </c>
      <c r="F40" s="105">
        <v>43503.200000000004</v>
      </c>
      <c r="G40" s="105">
        <v>43503.200000000004</v>
      </c>
      <c r="H40" s="105">
        <v>46849.599999999999</v>
      </c>
      <c r="I40" s="105">
        <v>48522.8</v>
      </c>
      <c r="J40" s="105">
        <v>50196</v>
      </c>
      <c r="K40" s="105">
        <v>48522.8</v>
      </c>
      <c r="L40" s="105">
        <v>46849.599999999999</v>
      </c>
      <c r="M40" s="105">
        <v>49359.4</v>
      </c>
      <c r="N40" s="105">
        <v>48522.8</v>
      </c>
      <c r="O40" s="106">
        <v>532077.60000000009</v>
      </c>
    </row>
    <row r="41" spans="1:15" x14ac:dyDescent="0.2">
      <c r="A41" s="230"/>
      <c r="B41" s="107" t="s">
        <v>25</v>
      </c>
      <c r="C41" s="240">
        <v>-1703.0999999999913</v>
      </c>
      <c r="D41" s="241">
        <v>-1743.6499999999942</v>
      </c>
      <c r="E41" s="241">
        <v>-1703.0999999999913</v>
      </c>
      <c r="F41" s="241">
        <v>-2108.5999999999913</v>
      </c>
      <c r="G41" s="241">
        <v>-2108.5999999999913</v>
      </c>
      <c r="H41" s="241">
        <v>-2270.8000000000029</v>
      </c>
      <c r="I41" s="241">
        <v>-2351.8999999999942</v>
      </c>
      <c r="J41" s="241">
        <v>-2433</v>
      </c>
      <c r="K41" s="241">
        <v>-2351.8999999999942</v>
      </c>
      <c r="L41" s="241">
        <v>-2270.8000000000029</v>
      </c>
      <c r="M41" s="241">
        <v>-2392.4499999999971</v>
      </c>
      <c r="N41" s="241">
        <v>-2351.8999999999942</v>
      </c>
      <c r="O41" s="242">
        <v>-25789.799999999945</v>
      </c>
    </row>
    <row r="42" spans="1:15" x14ac:dyDescent="0.2">
      <c r="A42" s="230"/>
      <c r="B42" s="107" t="s">
        <v>26</v>
      </c>
      <c r="C42" s="240">
        <v>-93.00372488654925</v>
      </c>
      <c r="D42" s="241">
        <v>-95.218099288609949</v>
      </c>
      <c r="E42" s="241">
        <v>-93.00372488654925</v>
      </c>
      <c r="F42" s="241">
        <v>-115.1474689071562</v>
      </c>
      <c r="G42" s="241">
        <v>-115.1474689071562</v>
      </c>
      <c r="H42" s="241">
        <v>-124.00496651539898</v>
      </c>
      <c r="I42" s="241">
        <v>-128.43371531952039</v>
      </c>
      <c r="J42" s="241">
        <v>-132.86246412364176</v>
      </c>
      <c r="K42" s="241">
        <v>-128.43371531952039</v>
      </c>
      <c r="L42" s="241">
        <v>-124.00496651539898</v>
      </c>
      <c r="M42" s="241">
        <v>-130.6480897215811</v>
      </c>
      <c r="N42" s="241">
        <v>-128.43371531952039</v>
      </c>
      <c r="O42" s="242">
        <v>-1408.3421197106029</v>
      </c>
    </row>
    <row r="43" spans="1:15" x14ac:dyDescent="0.2">
      <c r="A43" s="230"/>
      <c r="B43" s="107" t="s">
        <v>27</v>
      </c>
      <c r="C43" s="240">
        <v>-1796.1037248865405</v>
      </c>
      <c r="D43" s="241">
        <v>-1838.8680992886041</v>
      </c>
      <c r="E43" s="241">
        <v>-1796.1037248865405</v>
      </c>
      <c r="F43" s="241">
        <v>-2223.7474689071473</v>
      </c>
      <c r="G43" s="241">
        <v>-2223.7474689071473</v>
      </c>
      <c r="H43" s="241">
        <v>-2394.8049665154017</v>
      </c>
      <c r="I43" s="241">
        <v>-2480.3337153195143</v>
      </c>
      <c r="J43" s="241">
        <v>-2565.862464123642</v>
      </c>
      <c r="K43" s="241">
        <v>-2480.3337153195143</v>
      </c>
      <c r="L43" s="241">
        <v>-2394.8049665154017</v>
      </c>
      <c r="M43" s="241">
        <v>-2523.0980897215782</v>
      </c>
      <c r="N43" s="241">
        <v>-2480.3337153195143</v>
      </c>
      <c r="O43" s="242">
        <v>-27198.142119710545</v>
      </c>
    </row>
    <row r="44" spans="1:15" x14ac:dyDescent="0.2">
      <c r="A44" s="230"/>
      <c r="B44" s="107" t="s">
        <v>49</v>
      </c>
      <c r="C44" s="108">
        <v>36840.299999999996</v>
      </c>
      <c r="D44" s="96">
        <v>37717.449999999997</v>
      </c>
      <c r="E44" s="96">
        <v>36840.299999999996</v>
      </c>
      <c r="F44" s="96">
        <v>45611.799999999996</v>
      </c>
      <c r="G44" s="96">
        <v>45611.799999999996</v>
      </c>
      <c r="H44" s="96">
        <v>49120.4</v>
      </c>
      <c r="I44" s="96">
        <v>50874.7</v>
      </c>
      <c r="J44" s="96">
        <v>52629</v>
      </c>
      <c r="K44" s="96">
        <v>50874.7</v>
      </c>
      <c r="L44" s="96">
        <v>49120.4</v>
      </c>
      <c r="M44" s="96">
        <v>51751.85</v>
      </c>
      <c r="N44" s="96">
        <v>50874.7</v>
      </c>
      <c r="O44" s="109">
        <v>557867.39999999991</v>
      </c>
    </row>
    <row r="45" spans="1:15" x14ac:dyDescent="0.2">
      <c r="A45" s="230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">
      <c r="A46" s="230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">
      <c r="A47" s="97" t="s">
        <v>8</v>
      </c>
      <c r="B47" s="97" t="s">
        <v>70</v>
      </c>
      <c r="C47" s="104">
        <v>76967.199999999997</v>
      </c>
      <c r="D47" s="105">
        <v>73620.800000000003</v>
      </c>
      <c r="E47" s="105">
        <v>59398.6</v>
      </c>
      <c r="F47" s="105">
        <v>63581.599999999999</v>
      </c>
      <c r="G47" s="105">
        <v>112104.40000000001</v>
      </c>
      <c r="H47" s="105">
        <v>121307</v>
      </c>
      <c r="I47" s="105">
        <v>134692.6</v>
      </c>
      <c r="J47" s="105">
        <v>128836.40000000001</v>
      </c>
      <c r="K47" s="105">
        <v>110431.2</v>
      </c>
      <c r="L47" s="105">
        <v>76130.600000000006</v>
      </c>
      <c r="M47" s="105">
        <v>56052.200000000004</v>
      </c>
      <c r="N47" s="105">
        <v>80313.600000000006</v>
      </c>
      <c r="O47" s="106">
        <v>1093436.2</v>
      </c>
    </row>
    <row r="48" spans="1:15" x14ac:dyDescent="0.2">
      <c r="A48" s="230"/>
      <c r="B48" s="107" t="s">
        <v>25</v>
      </c>
      <c r="C48" s="240">
        <v>-3730.6000000000058</v>
      </c>
      <c r="D48" s="241">
        <v>-3568.3999999999942</v>
      </c>
      <c r="E48" s="241">
        <v>-2879.0500000000029</v>
      </c>
      <c r="F48" s="241">
        <v>-3081.7999999999956</v>
      </c>
      <c r="G48" s="241">
        <v>-5433.6999999999825</v>
      </c>
      <c r="H48" s="241">
        <v>-5879.75</v>
      </c>
      <c r="I48" s="241">
        <v>-6528.5499999999884</v>
      </c>
      <c r="J48" s="241">
        <v>-6244.6999999999971</v>
      </c>
      <c r="K48" s="241">
        <v>-5352.6000000000058</v>
      </c>
      <c r="L48" s="241">
        <v>-3690.0499999999884</v>
      </c>
      <c r="M48" s="241">
        <v>-2716.8499999999913</v>
      </c>
      <c r="N48" s="241">
        <v>-3892.7999999999884</v>
      </c>
      <c r="O48" s="242">
        <v>-52998.84999999994</v>
      </c>
    </row>
    <row r="49" spans="1:15" x14ac:dyDescent="0.2">
      <c r="A49" s="230"/>
      <c r="B49" s="107" t="s">
        <v>26</v>
      </c>
      <c r="C49" s="240">
        <v>-203.72244498958406</v>
      </c>
      <c r="D49" s="241">
        <v>-194.86494738134127</v>
      </c>
      <c r="E49" s="241">
        <v>-157.22058254630943</v>
      </c>
      <c r="F49" s="241">
        <v>-168.29245455661291</v>
      </c>
      <c r="G49" s="241">
        <v>-296.72616987613333</v>
      </c>
      <c r="H49" s="241">
        <v>-321.08428829880097</v>
      </c>
      <c r="I49" s="241">
        <v>-356.51427873177209</v>
      </c>
      <c r="J49" s="241">
        <v>-341.01365791734725</v>
      </c>
      <c r="K49" s="241">
        <v>-292.2974210720119</v>
      </c>
      <c r="L49" s="241">
        <v>-201.50807058752335</v>
      </c>
      <c r="M49" s="241">
        <v>-148.36308493806666</v>
      </c>
      <c r="N49" s="241">
        <v>-212.57994259782683</v>
      </c>
      <c r="O49" s="242">
        <v>-2894.18734349333</v>
      </c>
    </row>
    <row r="50" spans="1:15" x14ac:dyDescent="0.2">
      <c r="A50" s="230"/>
      <c r="B50" s="107" t="s">
        <v>27</v>
      </c>
      <c r="C50" s="240">
        <v>-3934.3224449895897</v>
      </c>
      <c r="D50" s="241">
        <v>-3763.2649473813353</v>
      </c>
      <c r="E50" s="241">
        <v>-3036.2705825463122</v>
      </c>
      <c r="F50" s="241">
        <v>-3250.0924545566086</v>
      </c>
      <c r="G50" s="241">
        <v>-5730.4261698761156</v>
      </c>
      <c r="H50" s="241">
        <v>-6200.8342882988009</v>
      </c>
      <c r="I50" s="241">
        <v>-6885.0642787317602</v>
      </c>
      <c r="J50" s="241">
        <v>-6585.7136579173439</v>
      </c>
      <c r="K50" s="241">
        <v>-5644.897421072018</v>
      </c>
      <c r="L50" s="241">
        <v>-3891.5580705875118</v>
      </c>
      <c r="M50" s="241">
        <v>-2865.2130849380578</v>
      </c>
      <c r="N50" s="241">
        <v>-4105.379942597815</v>
      </c>
      <c r="O50" s="242">
        <v>-55893.03734349327</v>
      </c>
    </row>
    <row r="51" spans="1:15" x14ac:dyDescent="0.2">
      <c r="A51" s="230"/>
      <c r="B51" s="107" t="s">
        <v>49</v>
      </c>
      <c r="C51" s="108">
        <v>80697.8</v>
      </c>
      <c r="D51" s="96">
        <v>77189.2</v>
      </c>
      <c r="E51" s="96">
        <v>62277.65</v>
      </c>
      <c r="F51" s="96">
        <v>66663.399999999994</v>
      </c>
      <c r="G51" s="96">
        <v>117538.09999999999</v>
      </c>
      <c r="H51" s="96">
        <v>127186.75</v>
      </c>
      <c r="I51" s="96">
        <v>141221.15</v>
      </c>
      <c r="J51" s="96">
        <v>135081.1</v>
      </c>
      <c r="K51" s="96">
        <v>115783.8</v>
      </c>
      <c r="L51" s="96">
        <v>79820.649999999994</v>
      </c>
      <c r="M51" s="96">
        <v>58769.049999999996</v>
      </c>
      <c r="N51" s="96">
        <v>84206.399999999994</v>
      </c>
      <c r="O51" s="109">
        <v>1146435.0499999998</v>
      </c>
    </row>
    <row r="52" spans="1:15" x14ac:dyDescent="0.2">
      <c r="A52" s="230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">
      <c r="A53" s="230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">
      <c r="A54" s="97" t="s">
        <v>21</v>
      </c>
      <c r="B54" s="97" t="s">
        <v>70</v>
      </c>
      <c r="C54" s="104">
        <v>2425303.4</v>
      </c>
      <c r="D54" s="105">
        <v>2308179.4</v>
      </c>
      <c r="E54" s="105">
        <v>2049670</v>
      </c>
      <c r="F54" s="105">
        <v>2003657</v>
      </c>
      <c r="G54" s="105">
        <v>2913041.2</v>
      </c>
      <c r="H54" s="105">
        <v>3351419.6</v>
      </c>
      <c r="I54" s="105">
        <v>3538818</v>
      </c>
      <c r="J54" s="105">
        <v>3472726.6</v>
      </c>
      <c r="K54" s="105">
        <v>3261066.8000000003</v>
      </c>
      <c r="L54" s="105">
        <v>2309016</v>
      </c>
      <c r="M54" s="105">
        <v>2142532.6</v>
      </c>
      <c r="N54" s="105">
        <v>2635290</v>
      </c>
      <c r="O54" s="106">
        <v>32410720.600000005</v>
      </c>
    </row>
    <row r="55" spans="1:15" x14ac:dyDescent="0.2">
      <c r="A55" s="230"/>
      <c r="B55" s="107" t="s">
        <v>25</v>
      </c>
      <c r="C55" s="240">
        <v>-117554.45000000019</v>
      </c>
      <c r="D55" s="241">
        <v>-111877.45000000019</v>
      </c>
      <c r="E55" s="241">
        <v>-99347.5</v>
      </c>
      <c r="F55" s="241">
        <v>-97117.25</v>
      </c>
      <c r="G55" s="241">
        <v>-141195.09999999963</v>
      </c>
      <c r="H55" s="241">
        <v>-162443.29999999981</v>
      </c>
      <c r="I55" s="241">
        <v>-171526.5</v>
      </c>
      <c r="J55" s="241">
        <v>-168323.04999999981</v>
      </c>
      <c r="K55" s="241">
        <v>-158063.89999999944</v>
      </c>
      <c r="L55" s="241">
        <v>-111918</v>
      </c>
      <c r="M55" s="241">
        <v>-103848.54999999981</v>
      </c>
      <c r="N55" s="241">
        <v>-127732.5</v>
      </c>
      <c r="O55" s="242">
        <v>-1570947.5499999989</v>
      </c>
    </row>
    <row r="56" spans="1:15" x14ac:dyDescent="0.2">
      <c r="A56" s="230"/>
      <c r="B56" s="107" t="s">
        <v>26</v>
      </c>
      <c r="C56" s="240">
        <v>-6419.4713915739585</v>
      </c>
      <c r="D56" s="241">
        <v>-6109.4589752854608</v>
      </c>
      <c r="E56" s="241">
        <v>-5425.2172850487059</v>
      </c>
      <c r="F56" s="241">
        <v>-5303.4266929353671</v>
      </c>
      <c r="G56" s="241">
        <v>-7710.4516679753451</v>
      </c>
      <c r="H56" s="241">
        <v>-8870.7838546551502</v>
      </c>
      <c r="I56" s="241">
        <v>-9366.8037207167454</v>
      </c>
      <c r="J56" s="241">
        <v>-9191.8681429539502</v>
      </c>
      <c r="K56" s="241">
        <v>-8631.6314192325954</v>
      </c>
      <c r="L56" s="241">
        <v>-6111.6733496875222</v>
      </c>
      <c r="M56" s="241">
        <v>-5671.012843677443</v>
      </c>
      <c r="N56" s="241">
        <v>-6975.2793664911933</v>
      </c>
      <c r="O56" s="242">
        <v>-85787.078710233429</v>
      </c>
    </row>
    <row r="57" spans="1:15" x14ac:dyDescent="0.2">
      <c r="A57" s="230"/>
      <c r="B57" s="107" t="s">
        <v>27</v>
      </c>
      <c r="C57" s="240">
        <v>-123973.92139157414</v>
      </c>
      <c r="D57" s="241">
        <v>-117986.90897528565</v>
      </c>
      <c r="E57" s="241">
        <v>-104772.71728504871</v>
      </c>
      <c r="F57" s="241">
        <v>-102420.67669293536</v>
      </c>
      <c r="G57" s="241">
        <v>-148905.55166797497</v>
      </c>
      <c r="H57" s="241">
        <v>-171314.08385465498</v>
      </c>
      <c r="I57" s="241">
        <v>-180893.30372071674</v>
      </c>
      <c r="J57" s="241">
        <v>-177514.91814295377</v>
      </c>
      <c r="K57" s="241">
        <v>-166695.53141923202</v>
      </c>
      <c r="L57" s="241">
        <v>-118029.67334968752</v>
      </c>
      <c r="M57" s="241">
        <v>-109519.56284367725</v>
      </c>
      <c r="N57" s="241">
        <v>-134707.77936649119</v>
      </c>
      <c r="O57" s="242">
        <v>-1656734.6287102324</v>
      </c>
    </row>
    <row r="58" spans="1:15" x14ac:dyDescent="0.2">
      <c r="A58" s="230"/>
      <c r="B58" s="107" t="s">
        <v>49</v>
      </c>
      <c r="C58" s="108">
        <v>2542857.85</v>
      </c>
      <c r="D58" s="96">
        <v>2420056.85</v>
      </c>
      <c r="E58" s="96">
        <v>2149017.5</v>
      </c>
      <c r="F58" s="96">
        <v>2100774.25</v>
      </c>
      <c r="G58" s="96">
        <v>3054236.3</v>
      </c>
      <c r="H58" s="96">
        <v>3513862.9</v>
      </c>
      <c r="I58" s="96">
        <v>3710344.5</v>
      </c>
      <c r="J58" s="96">
        <v>3641049.65</v>
      </c>
      <c r="K58" s="96">
        <v>3419130.6999999997</v>
      </c>
      <c r="L58" s="96">
        <v>2420934</v>
      </c>
      <c r="M58" s="96">
        <v>2246381.15</v>
      </c>
      <c r="N58" s="96">
        <v>2763022.5</v>
      </c>
      <c r="O58" s="109">
        <v>33981668.149999991</v>
      </c>
    </row>
    <row r="59" spans="1:15" x14ac:dyDescent="0.2">
      <c r="A59" s="230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">
      <c r="A60" s="230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">
      <c r="A61" s="97" t="s">
        <v>22</v>
      </c>
      <c r="B61" s="97" t="s">
        <v>70</v>
      </c>
      <c r="C61" s="104">
        <v>2443708.6</v>
      </c>
      <c r="D61" s="105">
        <v>2386819.8000000003</v>
      </c>
      <c r="E61" s="105">
        <v>2141696</v>
      </c>
      <c r="F61" s="105">
        <v>2036284.4000000001</v>
      </c>
      <c r="G61" s="105">
        <v>2607682.2000000002</v>
      </c>
      <c r="H61" s="105">
        <v>2958217.6</v>
      </c>
      <c r="I61" s="105">
        <v>3092073.6</v>
      </c>
      <c r="J61" s="105">
        <v>3038531.2</v>
      </c>
      <c r="K61" s="105">
        <v>2791734.2</v>
      </c>
      <c r="L61" s="105">
        <v>2088153.6</v>
      </c>
      <c r="M61" s="105">
        <v>2106558.8000000003</v>
      </c>
      <c r="N61" s="105">
        <v>2843603.4</v>
      </c>
      <c r="O61" s="106">
        <v>30535063.399999999</v>
      </c>
    </row>
    <row r="62" spans="1:15" x14ac:dyDescent="0.2">
      <c r="A62" s="230"/>
      <c r="B62" s="107" t="s">
        <v>25</v>
      </c>
      <c r="C62" s="240">
        <v>-118446.54999999981</v>
      </c>
      <c r="D62" s="241">
        <v>-115689.14999999944</v>
      </c>
      <c r="E62" s="241">
        <v>-103808</v>
      </c>
      <c r="F62" s="241">
        <v>-98698.699999999953</v>
      </c>
      <c r="G62" s="241">
        <v>-126394.34999999963</v>
      </c>
      <c r="H62" s="241">
        <v>-143384.79999999981</v>
      </c>
      <c r="I62" s="241">
        <v>-149872.79999999981</v>
      </c>
      <c r="J62" s="241">
        <v>-147277.59999999963</v>
      </c>
      <c r="K62" s="241">
        <v>-135315.34999999963</v>
      </c>
      <c r="L62" s="241">
        <v>-101212.79999999981</v>
      </c>
      <c r="M62" s="241">
        <v>-102104.89999999944</v>
      </c>
      <c r="N62" s="241">
        <v>-137829.45000000019</v>
      </c>
      <c r="O62" s="242">
        <v>-1480034.4499999972</v>
      </c>
    </row>
    <row r="63" spans="1:15" x14ac:dyDescent="0.2">
      <c r="A63" s="230"/>
      <c r="B63" s="107" t="s">
        <v>26</v>
      </c>
      <c r="C63" s="240">
        <v>-6468.187628419294</v>
      </c>
      <c r="D63" s="241">
        <v>-6317.6101690791666</v>
      </c>
      <c r="E63" s="241">
        <v>-5668.7984692753826</v>
      </c>
      <c r="F63" s="241">
        <v>-5389.7872946157349</v>
      </c>
      <c r="G63" s="241">
        <v>-6902.20501122319</v>
      </c>
      <c r="H63" s="241">
        <v>-7830.0278856866225</v>
      </c>
      <c r="I63" s="241">
        <v>-8184.3277900163339</v>
      </c>
      <c r="J63" s="241">
        <v>-8042.6078282844492</v>
      </c>
      <c r="K63" s="241">
        <v>-7389.3673796765434</v>
      </c>
      <c r="L63" s="241">
        <v>-5527.0785075434978</v>
      </c>
      <c r="M63" s="241">
        <v>-5575.7947443888334</v>
      </c>
      <c r="N63" s="241">
        <v>-7526.6585926043062</v>
      </c>
      <c r="O63" s="242">
        <v>-80822.451300813351</v>
      </c>
    </row>
    <row r="64" spans="1:15" x14ac:dyDescent="0.2">
      <c r="A64" s="230"/>
      <c r="B64" s="107" t="s">
        <v>27</v>
      </c>
      <c r="C64" s="240">
        <v>-124914.73762841911</v>
      </c>
      <c r="D64" s="241">
        <v>-122006.76016907861</v>
      </c>
      <c r="E64" s="241">
        <v>-109476.79846927538</v>
      </c>
      <c r="F64" s="241">
        <v>-104088.48729461568</v>
      </c>
      <c r="G64" s="241">
        <v>-133296.55501122281</v>
      </c>
      <c r="H64" s="241">
        <v>-151214.82788568645</v>
      </c>
      <c r="I64" s="241">
        <v>-158057.12779001615</v>
      </c>
      <c r="J64" s="241">
        <v>-155320.20782828407</v>
      </c>
      <c r="K64" s="241">
        <v>-142704.71737967618</v>
      </c>
      <c r="L64" s="241">
        <v>-106739.87850754331</v>
      </c>
      <c r="M64" s="241">
        <v>-107680.69474438828</v>
      </c>
      <c r="N64" s="241">
        <v>-145356.10859260449</v>
      </c>
      <c r="O64" s="242">
        <v>-1560856.9013008107</v>
      </c>
    </row>
    <row r="65" spans="1:15" x14ac:dyDescent="0.2">
      <c r="A65" s="230"/>
      <c r="B65" s="107" t="s">
        <v>49</v>
      </c>
      <c r="C65" s="108">
        <v>2562155.15</v>
      </c>
      <c r="D65" s="96">
        <v>2502508.9499999997</v>
      </c>
      <c r="E65" s="96">
        <v>2245504</v>
      </c>
      <c r="F65" s="96">
        <v>2134983.1</v>
      </c>
      <c r="G65" s="96">
        <v>2734076.55</v>
      </c>
      <c r="H65" s="96">
        <v>3101602.4</v>
      </c>
      <c r="I65" s="96">
        <v>3241946.4</v>
      </c>
      <c r="J65" s="96">
        <v>3185808.8</v>
      </c>
      <c r="K65" s="96">
        <v>2927049.55</v>
      </c>
      <c r="L65" s="96">
        <v>2189366.4</v>
      </c>
      <c r="M65" s="96">
        <v>2208663.6999999997</v>
      </c>
      <c r="N65" s="96">
        <v>2981432.85</v>
      </c>
      <c r="O65" s="109">
        <v>32015097.850000001</v>
      </c>
    </row>
    <row r="66" spans="1:15" x14ac:dyDescent="0.2">
      <c r="A66" s="230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">
      <c r="A67" s="230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">
      <c r="A68" s="97" t="s">
        <v>9</v>
      </c>
      <c r="B68" s="97" t="s">
        <v>70</v>
      </c>
      <c r="C68" s="104">
        <v>41830</v>
      </c>
      <c r="D68" s="105">
        <v>40993.4</v>
      </c>
      <c r="E68" s="105">
        <v>37647</v>
      </c>
      <c r="F68" s="105">
        <v>28444.400000000001</v>
      </c>
      <c r="G68" s="105">
        <v>35137.200000000004</v>
      </c>
      <c r="H68" s="105">
        <v>40993.4</v>
      </c>
      <c r="I68" s="105">
        <v>45176.4</v>
      </c>
      <c r="J68" s="105">
        <v>39320.200000000004</v>
      </c>
      <c r="K68" s="105">
        <v>39320.200000000004</v>
      </c>
      <c r="L68" s="105">
        <v>32627.4</v>
      </c>
      <c r="M68" s="105">
        <v>37647</v>
      </c>
      <c r="N68" s="105">
        <v>51032.6</v>
      </c>
      <c r="O68" s="106">
        <v>470169.2</v>
      </c>
    </row>
    <row r="69" spans="1:15" x14ac:dyDescent="0.2">
      <c r="A69" s="230"/>
      <c r="B69" s="107" t="s">
        <v>25</v>
      </c>
      <c r="C69" s="240">
        <v>-2027.5</v>
      </c>
      <c r="D69" s="241">
        <v>-1986.9499999999971</v>
      </c>
      <c r="E69" s="241">
        <v>-1824.75</v>
      </c>
      <c r="F69" s="241">
        <v>-1378.6999999999971</v>
      </c>
      <c r="G69" s="241">
        <v>-1703.0999999999913</v>
      </c>
      <c r="H69" s="241">
        <v>-1986.9499999999971</v>
      </c>
      <c r="I69" s="241">
        <v>-2189.6999999999971</v>
      </c>
      <c r="J69" s="241">
        <v>-1905.8499999999913</v>
      </c>
      <c r="K69" s="241">
        <v>-1905.8499999999913</v>
      </c>
      <c r="L69" s="241">
        <v>-1581.4499999999971</v>
      </c>
      <c r="M69" s="241">
        <v>-1824.75</v>
      </c>
      <c r="N69" s="241">
        <v>-2473.5500000000029</v>
      </c>
      <c r="O69" s="242">
        <v>-22789.099999999962</v>
      </c>
    </row>
    <row r="70" spans="1:15" x14ac:dyDescent="0.2">
      <c r="A70" s="230"/>
      <c r="B70" s="107" t="s">
        <v>26</v>
      </c>
      <c r="C70" s="240">
        <v>-110.71872010303481</v>
      </c>
      <c r="D70" s="241">
        <v>-108.50434570097411</v>
      </c>
      <c r="E70" s="241">
        <v>-99.646848092731332</v>
      </c>
      <c r="F70" s="241">
        <v>-75.288729670063674</v>
      </c>
      <c r="G70" s="241">
        <v>-93.00372488654925</v>
      </c>
      <c r="H70" s="241">
        <v>-108.50434570097411</v>
      </c>
      <c r="I70" s="241">
        <v>-119.57621771127761</v>
      </c>
      <c r="J70" s="241">
        <v>-104.07559689685273</v>
      </c>
      <c r="K70" s="241">
        <v>-104.07559689685273</v>
      </c>
      <c r="L70" s="241">
        <v>-86.360601680367154</v>
      </c>
      <c r="M70" s="241">
        <v>-99.646848092731332</v>
      </c>
      <c r="N70" s="241">
        <v>-135.07683852570247</v>
      </c>
      <c r="O70" s="242">
        <v>-1244.4784139581113</v>
      </c>
    </row>
    <row r="71" spans="1:15" x14ac:dyDescent="0.2">
      <c r="A71" s="230"/>
      <c r="B71" s="107" t="s">
        <v>27</v>
      </c>
      <c r="C71" s="240">
        <v>-2138.2187201030347</v>
      </c>
      <c r="D71" s="241">
        <v>-2095.4543457009713</v>
      </c>
      <c r="E71" s="241">
        <v>-1924.3968480927313</v>
      </c>
      <c r="F71" s="241">
        <v>-1453.9887296700608</v>
      </c>
      <c r="G71" s="241">
        <v>-1796.1037248865405</v>
      </c>
      <c r="H71" s="241">
        <v>-2095.4543457009713</v>
      </c>
      <c r="I71" s="241">
        <v>-2309.2762177112745</v>
      </c>
      <c r="J71" s="241">
        <v>-2009.9255968968439</v>
      </c>
      <c r="K71" s="241">
        <v>-2009.9255968968439</v>
      </c>
      <c r="L71" s="241">
        <v>-1667.8106016803642</v>
      </c>
      <c r="M71" s="241">
        <v>-1924.3968480927313</v>
      </c>
      <c r="N71" s="241">
        <v>-2608.6268385257054</v>
      </c>
      <c r="O71" s="242">
        <v>-24033.578413958076</v>
      </c>
    </row>
    <row r="72" spans="1:15" x14ac:dyDescent="0.2">
      <c r="A72" s="230"/>
      <c r="B72" s="107" t="s">
        <v>49</v>
      </c>
      <c r="C72" s="108">
        <v>43857.5</v>
      </c>
      <c r="D72" s="96">
        <v>42980.35</v>
      </c>
      <c r="E72" s="96">
        <v>39471.75</v>
      </c>
      <c r="F72" s="96">
        <v>29823.1</v>
      </c>
      <c r="G72" s="96">
        <v>36840.299999999996</v>
      </c>
      <c r="H72" s="96">
        <v>42980.35</v>
      </c>
      <c r="I72" s="96">
        <v>47366.1</v>
      </c>
      <c r="J72" s="96">
        <v>41226.049999999996</v>
      </c>
      <c r="K72" s="96">
        <v>41226.049999999996</v>
      </c>
      <c r="L72" s="96">
        <v>34208.85</v>
      </c>
      <c r="M72" s="96">
        <v>39471.75</v>
      </c>
      <c r="N72" s="96">
        <v>53506.15</v>
      </c>
      <c r="O72" s="109">
        <v>492958.3</v>
      </c>
    </row>
    <row r="73" spans="1:15" x14ac:dyDescent="0.2">
      <c r="A73" s="230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">
      <c r="A74" s="230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">
      <c r="A75" s="97" t="s">
        <v>54</v>
      </c>
      <c r="B75" s="97" t="s">
        <v>70</v>
      </c>
      <c r="C75" s="104">
        <v>101228.6</v>
      </c>
      <c r="D75" s="105">
        <v>91189.400000000009</v>
      </c>
      <c r="E75" s="105">
        <v>79477</v>
      </c>
      <c r="F75" s="105">
        <v>77803.8</v>
      </c>
      <c r="G75" s="105">
        <v>104575</v>
      </c>
      <c r="H75" s="105">
        <v>133019.4</v>
      </c>
      <c r="I75" s="105">
        <v>147241.60000000001</v>
      </c>
      <c r="J75" s="105">
        <v>139712.20000000001</v>
      </c>
      <c r="K75" s="105">
        <v>127999.8</v>
      </c>
      <c r="L75" s="105">
        <v>87006.400000000009</v>
      </c>
      <c r="M75" s="105">
        <v>87006.400000000009</v>
      </c>
      <c r="N75" s="105">
        <v>116287.40000000001</v>
      </c>
      <c r="O75" s="106">
        <v>1292546.9999999998</v>
      </c>
    </row>
    <row r="76" spans="1:15" x14ac:dyDescent="0.2">
      <c r="A76" s="230"/>
      <c r="B76" s="107" t="s">
        <v>25</v>
      </c>
      <c r="C76" s="108">
        <v>-4906.5499999999884</v>
      </c>
      <c r="D76" s="96">
        <v>-4419.9499999999825</v>
      </c>
      <c r="E76" s="96">
        <v>-3852.25</v>
      </c>
      <c r="F76" s="96">
        <v>-3771.1499999999942</v>
      </c>
      <c r="G76" s="96">
        <v>-5068.75</v>
      </c>
      <c r="H76" s="96">
        <v>-6447.4500000000116</v>
      </c>
      <c r="I76" s="96">
        <v>-7136.7999999999884</v>
      </c>
      <c r="J76" s="96">
        <v>-6771.8499999999767</v>
      </c>
      <c r="K76" s="96">
        <v>-6204.1499999999796</v>
      </c>
      <c r="L76" s="96">
        <v>-4217.1999999999825</v>
      </c>
      <c r="M76" s="96">
        <v>-4217.1999999999825</v>
      </c>
      <c r="N76" s="96">
        <v>-5636.4499999999825</v>
      </c>
      <c r="O76" s="109">
        <v>-62649.749999999869</v>
      </c>
    </row>
    <row r="77" spans="1:15" x14ac:dyDescent="0.2">
      <c r="A77" s="230"/>
      <c r="B77" s="107" t="s">
        <v>26</v>
      </c>
      <c r="C77" s="108">
        <v>-267.93930264934426</v>
      </c>
      <c r="D77" s="96">
        <v>-241.36680982461587</v>
      </c>
      <c r="E77" s="96">
        <v>-210.36556819576614</v>
      </c>
      <c r="F77" s="96">
        <v>-205.93681939164475</v>
      </c>
      <c r="G77" s="96">
        <v>-276.79680025758699</v>
      </c>
      <c r="H77" s="96">
        <v>-352.08552992765073</v>
      </c>
      <c r="I77" s="96">
        <v>-389.72989476268253</v>
      </c>
      <c r="J77" s="96">
        <v>-369.80052514413632</v>
      </c>
      <c r="K77" s="96">
        <v>-338.7992835152865</v>
      </c>
      <c r="L77" s="96">
        <v>-230.29493781431239</v>
      </c>
      <c r="M77" s="96">
        <v>-230.29493781431239</v>
      </c>
      <c r="N77" s="96">
        <v>-307.79804188643681</v>
      </c>
      <c r="O77" s="109">
        <v>-3421.2084511837757</v>
      </c>
    </row>
    <row r="78" spans="1:15" x14ac:dyDescent="0.2">
      <c r="A78" s="230"/>
      <c r="B78" s="107" t="s">
        <v>27</v>
      </c>
      <c r="C78" s="108">
        <v>-5174.4893026493328</v>
      </c>
      <c r="D78" s="96">
        <v>-4661.3168098245987</v>
      </c>
      <c r="E78" s="96">
        <v>-4062.6155681957662</v>
      </c>
      <c r="F78" s="96">
        <v>-3977.086819391639</v>
      </c>
      <c r="G78" s="96">
        <v>-5345.5468002575872</v>
      </c>
      <c r="H78" s="96">
        <v>-6799.5355299276625</v>
      </c>
      <c r="I78" s="96">
        <v>-7526.5298947626707</v>
      </c>
      <c r="J78" s="96">
        <v>-7141.6505251441131</v>
      </c>
      <c r="K78" s="96">
        <v>-6542.949283515266</v>
      </c>
      <c r="L78" s="96">
        <v>-4447.4949378142946</v>
      </c>
      <c r="M78" s="96">
        <v>-4447.4949378142946</v>
      </c>
      <c r="N78" s="96">
        <v>-5944.2480418864197</v>
      </c>
      <c r="O78" s="109">
        <v>-66070.958451183629</v>
      </c>
    </row>
    <row r="79" spans="1:15" x14ac:dyDescent="0.2">
      <c r="A79" s="230"/>
      <c r="B79" s="107" t="s">
        <v>49</v>
      </c>
      <c r="C79" s="108">
        <v>106135.15</v>
      </c>
      <c r="D79" s="96">
        <v>95609.349999999991</v>
      </c>
      <c r="E79" s="96">
        <v>83329.25</v>
      </c>
      <c r="F79" s="96">
        <v>81574.95</v>
      </c>
      <c r="G79" s="96">
        <v>109643.75</v>
      </c>
      <c r="H79" s="96">
        <v>139466.85</v>
      </c>
      <c r="I79" s="96">
        <v>154378.4</v>
      </c>
      <c r="J79" s="96">
        <v>146484.04999999999</v>
      </c>
      <c r="K79" s="96">
        <v>134203.94999999998</v>
      </c>
      <c r="L79" s="96">
        <v>91223.599999999991</v>
      </c>
      <c r="M79" s="96">
        <v>91223.599999999991</v>
      </c>
      <c r="N79" s="96">
        <v>121923.84999999999</v>
      </c>
      <c r="O79" s="109">
        <v>1355196.7500000002</v>
      </c>
    </row>
    <row r="80" spans="1:15" x14ac:dyDescent="0.2">
      <c r="A80" s="230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">
      <c r="A81" s="230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">
      <c r="A82" s="97" t="s">
        <v>55</v>
      </c>
      <c r="B82" s="97" t="s">
        <v>70</v>
      </c>
      <c r="C82" s="104">
        <v>6692.8</v>
      </c>
      <c r="D82" s="105">
        <v>9202.6</v>
      </c>
      <c r="E82" s="105">
        <v>7529.4000000000005</v>
      </c>
      <c r="F82" s="105">
        <v>9202.6</v>
      </c>
      <c r="G82" s="105">
        <v>9202.6</v>
      </c>
      <c r="H82" s="105">
        <v>11712.4</v>
      </c>
      <c r="I82" s="105">
        <v>10875.800000000001</v>
      </c>
      <c r="J82" s="105">
        <v>10875.800000000001</v>
      </c>
      <c r="K82" s="105">
        <v>10875.800000000001</v>
      </c>
      <c r="L82" s="105">
        <v>8366</v>
      </c>
      <c r="M82" s="105">
        <v>7529.4000000000005</v>
      </c>
      <c r="N82" s="105">
        <v>7529.4000000000005</v>
      </c>
      <c r="O82" s="106">
        <v>109594.59999999999</v>
      </c>
    </row>
    <row r="83" spans="1:15" x14ac:dyDescent="0.2">
      <c r="A83" s="230"/>
      <c r="B83" s="107" t="s">
        <v>25</v>
      </c>
      <c r="C83" s="108">
        <v>-324.39999999999964</v>
      </c>
      <c r="D83" s="96">
        <v>-446.04999999999927</v>
      </c>
      <c r="E83" s="96">
        <v>-364.94999999999891</v>
      </c>
      <c r="F83" s="96">
        <v>-446.04999999999927</v>
      </c>
      <c r="G83" s="96">
        <v>-446.04999999999927</v>
      </c>
      <c r="H83" s="96">
        <v>-567.70000000000073</v>
      </c>
      <c r="I83" s="96">
        <v>-527.14999999999782</v>
      </c>
      <c r="J83" s="96">
        <v>-527.14999999999782</v>
      </c>
      <c r="K83" s="96">
        <v>-527.14999999999782</v>
      </c>
      <c r="L83" s="96">
        <v>-405.5</v>
      </c>
      <c r="M83" s="96">
        <v>-364.94999999999891</v>
      </c>
      <c r="N83" s="96">
        <v>-364.94999999999891</v>
      </c>
      <c r="O83" s="109">
        <v>-5312.0499999999884</v>
      </c>
    </row>
    <row r="84" spans="1:15" x14ac:dyDescent="0.2">
      <c r="A84" s="230"/>
      <c r="B84" s="107" t="s">
        <v>26</v>
      </c>
      <c r="C84" s="108">
        <v>-17.714995216485573</v>
      </c>
      <c r="D84" s="96">
        <v>-24.358118422667658</v>
      </c>
      <c r="E84" s="96">
        <v>-19.929369618546268</v>
      </c>
      <c r="F84" s="96">
        <v>-24.358118422667658</v>
      </c>
      <c r="G84" s="96">
        <v>-24.358118422667658</v>
      </c>
      <c r="H84" s="96">
        <v>-31.001241628849744</v>
      </c>
      <c r="I84" s="96">
        <v>-28.786867226789049</v>
      </c>
      <c r="J84" s="96">
        <v>-28.786867226789049</v>
      </c>
      <c r="K84" s="96">
        <v>-28.786867226789049</v>
      </c>
      <c r="L84" s="96">
        <v>-22.143744020606963</v>
      </c>
      <c r="M84" s="96">
        <v>-19.929369618546268</v>
      </c>
      <c r="N84" s="96">
        <v>-19.929369618546268</v>
      </c>
      <c r="O84" s="109">
        <v>-290.08304666995116</v>
      </c>
    </row>
    <row r="85" spans="1:15" x14ac:dyDescent="0.2">
      <c r="A85" s="230"/>
      <c r="B85" s="107" t="s">
        <v>27</v>
      </c>
      <c r="C85" s="108">
        <v>-342.11499521648523</v>
      </c>
      <c r="D85" s="96">
        <v>-470.40811842266692</v>
      </c>
      <c r="E85" s="96">
        <v>-384.87936961854518</v>
      </c>
      <c r="F85" s="96">
        <v>-470.40811842266692</v>
      </c>
      <c r="G85" s="96">
        <v>-470.40811842266692</v>
      </c>
      <c r="H85" s="96">
        <v>-598.70124162885043</v>
      </c>
      <c r="I85" s="96">
        <v>-555.93686722678683</v>
      </c>
      <c r="J85" s="96">
        <v>-555.93686722678683</v>
      </c>
      <c r="K85" s="96">
        <v>-555.93686722678683</v>
      </c>
      <c r="L85" s="96">
        <v>-427.64374402060696</v>
      </c>
      <c r="M85" s="96">
        <v>-384.87936961854518</v>
      </c>
      <c r="N85" s="96">
        <v>-384.87936961854518</v>
      </c>
      <c r="O85" s="109">
        <v>-5602.1330466699392</v>
      </c>
    </row>
    <row r="86" spans="1:15" x14ac:dyDescent="0.2">
      <c r="A86" s="230"/>
      <c r="B86" s="107" t="s">
        <v>49</v>
      </c>
      <c r="C86" s="108">
        <v>7017.2</v>
      </c>
      <c r="D86" s="96">
        <v>9648.65</v>
      </c>
      <c r="E86" s="96">
        <v>7894.3499999999995</v>
      </c>
      <c r="F86" s="96">
        <v>9648.65</v>
      </c>
      <c r="G86" s="96">
        <v>9648.65</v>
      </c>
      <c r="H86" s="96">
        <v>12280.1</v>
      </c>
      <c r="I86" s="96">
        <v>11402.949999999999</v>
      </c>
      <c r="J86" s="96">
        <v>11402.949999999999</v>
      </c>
      <c r="K86" s="96">
        <v>11402.949999999999</v>
      </c>
      <c r="L86" s="96">
        <v>8771.5</v>
      </c>
      <c r="M86" s="96">
        <v>7894.3499999999995</v>
      </c>
      <c r="N86" s="96">
        <v>7894.3499999999995</v>
      </c>
      <c r="O86" s="109">
        <v>114906.65000000001</v>
      </c>
    </row>
    <row r="87" spans="1:15" x14ac:dyDescent="0.2">
      <c r="A87" s="230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">
      <c r="A88" s="230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">
      <c r="A89" s="97" t="s">
        <v>56</v>
      </c>
      <c r="B89" s="97" t="s">
        <v>70</v>
      </c>
      <c r="C89" s="104">
        <v>18405.2</v>
      </c>
      <c r="D89" s="105">
        <v>18405.2</v>
      </c>
      <c r="E89" s="105">
        <v>15058.800000000001</v>
      </c>
      <c r="F89" s="105">
        <v>17568.600000000002</v>
      </c>
      <c r="G89" s="105">
        <v>25934.600000000002</v>
      </c>
      <c r="H89" s="105">
        <v>31790.799999999999</v>
      </c>
      <c r="I89" s="105">
        <v>33464</v>
      </c>
      <c r="J89" s="105">
        <v>31790.799999999999</v>
      </c>
      <c r="K89" s="105">
        <v>29281</v>
      </c>
      <c r="L89" s="105">
        <v>19241.8</v>
      </c>
      <c r="M89" s="105">
        <v>15058.800000000001</v>
      </c>
      <c r="N89" s="105">
        <v>22588.2</v>
      </c>
      <c r="O89" s="106">
        <v>278587.8</v>
      </c>
    </row>
    <row r="90" spans="1:15" x14ac:dyDescent="0.2">
      <c r="A90" s="230"/>
      <c r="B90" s="107" t="s">
        <v>25</v>
      </c>
      <c r="C90" s="108">
        <v>-892.09999999999854</v>
      </c>
      <c r="D90" s="96">
        <v>-892.09999999999854</v>
      </c>
      <c r="E90" s="96">
        <v>-729.89999999999782</v>
      </c>
      <c r="F90" s="96">
        <v>-851.54999999999563</v>
      </c>
      <c r="G90" s="96">
        <v>-1257.0499999999956</v>
      </c>
      <c r="H90" s="96">
        <v>-1540.8999999999978</v>
      </c>
      <c r="I90" s="96">
        <v>-1622</v>
      </c>
      <c r="J90" s="96">
        <v>-1540.8999999999978</v>
      </c>
      <c r="K90" s="96">
        <v>-1419.25</v>
      </c>
      <c r="L90" s="96">
        <v>-932.65000000000146</v>
      </c>
      <c r="M90" s="96">
        <v>-729.89999999999782</v>
      </c>
      <c r="N90" s="96">
        <v>-1094.8499999999985</v>
      </c>
      <c r="O90" s="109">
        <v>-13503.14999999998</v>
      </c>
    </row>
    <row r="91" spans="1:15" x14ac:dyDescent="0.2">
      <c r="A91" s="230"/>
      <c r="B91" s="107" t="s">
        <v>26</v>
      </c>
      <c r="C91" s="108">
        <v>-48.716236845335317</v>
      </c>
      <c r="D91" s="96">
        <v>-48.716236845335317</v>
      </c>
      <c r="E91" s="96">
        <v>-39.858739237092536</v>
      </c>
      <c r="F91" s="96">
        <v>-46.501862443274625</v>
      </c>
      <c r="G91" s="96">
        <v>-68.645606463881577</v>
      </c>
      <c r="H91" s="96">
        <v>-84.146227278306455</v>
      </c>
      <c r="I91" s="96">
        <v>-88.574976082427852</v>
      </c>
      <c r="J91" s="96">
        <v>-84.146227278306455</v>
      </c>
      <c r="K91" s="96">
        <v>-77.503104072124373</v>
      </c>
      <c r="L91" s="96">
        <v>-50.930611247396016</v>
      </c>
      <c r="M91" s="96">
        <v>-39.858739237092536</v>
      </c>
      <c r="N91" s="96">
        <v>-59.788108855638804</v>
      </c>
      <c r="O91" s="109">
        <v>-737.38667588621195</v>
      </c>
    </row>
    <row r="92" spans="1:15" x14ac:dyDescent="0.2">
      <c r="A92" s="230"/>
      <c r="B92" s="107" t="s">
        <v>27</v>
      </c>
      <c r="C92" s="108">
        <v>-940.81623684533383</v>
      </c>
      <c r="D92" s="96">
        <v>-940.81623684533383</v>
      </c>
      <c r="E92" s="96">
        <v>-769.75873923709037</v>
      </c>
      <c r="F92" s="96">
        <v>-898.05186244327024</v>
      </c>
      <c r="G92" s="96">
        <v>-1325.6956064638773</v>
      </c>
      <c r="H92" s="96">
        <v>-1625.0462272783043</v>
      </c>
      <c r="I92" s="96">
        <v>-1710.5749760824278</v>
      </c>
      <c r="J92" s="96">
        <v>-1625.0462272783043</v>
      </c>
      <c r="K92" s="96">
        <v>-1496.7531040721244</v>
      </c>
      <c r="L92" s="96">
        <v>-983.58061124739743</v>
      </c>
      <c r="M92" s="96">
        <v>-769.75873923709037</v>
      </c>
      <c r="N92" s="96">
        <v>-1154.6381088556373</v>
      </c>
      <c r="O92" s="109">
        <v>-14240.536675886191</v>
      </c>
    </row>
    <row r="93" spans="1:15" x14ac:dyDescent="0.2">
      <c r="A93" s="230"/>
      <c r="B93" s="107" t="s">
        <v>49</v>
      </c>
      <c r="C93" s="108">
        <v>19297.3</v>
      </c>
      <c r="D93" s="96">
        <v>19297.3</v>
      </c>
      <c r="E93" s="96">
        <v>15788.699999999999</v>
      </c>
      <c r="F93" s="96">
        <v>18420.149999999998</v>
      </c>
      <c r="G93" s="96">
        <v>27191.649999999998</v>
      </c>
      <c r="H93" s="96">
        <v>33331.699999999997</v>
      </c>
      <c r="I93" s="96">
        <v>35086</v>
      </c>
      <c r="J93" s="96">
        <v>33331.699999999997</v>
      </c>
      <c r="K93" s="96">
        <v>30700.25</v>
      </c>
      <c r="L93" s="96">
        <v>20174.45</v>
      </c>
      <c r="M93" s="96">
        <v>15788.699999999999</v>
      </c>
      <c r="N93" s="96">
        <v>23683.05</v>
      </c>
      <c r="O93" s="109">
        <v>292090.95</v>
      </c>
    </row>
    <row r="94" spans="1:15" x14ac:dyDescent="0.2">
      <c r="A94" s="230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">
      <c r="A95" s="230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">
      <c r="A96" s="97" t="s">
        <v>57</v>
      </c>
      <c r="B96" s="97" t="s">
        <v>70</v>
      </c>
      <c r="C96" s="104">
        <v>30954.2</v>
      </c>
      <c r="D96" s="105">
        <v>30954.2</v>
      </c>
      <c r="E96" s="105">
        <v>20915</v>
      </c>
      <c r="F96" s="105">
        <v>25934.600000000002</v>
      </c>
      <c r="G96" s="105">
        <v>33464</v>
      </c>
      <c r="H96" s="105">
        <v>40156.800000000003</v>
      </c>
      <c r="I96" s="105">
        <v>43503.200000000004</v>
      </c>
      <c r="J96" s="105">
        <v>41830</v>
      </c>
      <c r="K96" s="105">
        <v>39320.200000000004</v>
      </c>
      <c r="L96" s="105">
        <v>29281</v>
      </c>
      <c r="M96" s="105">
        <v>28444.400000000001</v>
      </c>
      <c r="N96" s="105">
        <v>28444.400000000001</v>
      </c>
      <c r="O96" s="106">
        <v>393202.00000000006</v>
      </c>
    </row>
    <row r="97" spans="1:15" x14ac:dyDescent="0.2">
      <c r="A97" s="230"/>
      <c r="B97" s="107" t="s">
        <v>25</v>
      </c>
      <c r="C97" s="108">
        <v>-1500.3499999999985</v>
      </c>
      <c r="D97" s="96">
        <v>-1500.3499999999985</v>
      </c>
      <c r="E97" s="96">
        <v>-1013.75</v>
      </c>
      <c r="F97" s="96">
        <v>-1257.0499999999956</v>
      </c>
      <c r="G97" s="96">
        <v>-1622</v>
      </c>
      <c r="H97" s="96">
        <v>-1946.3999999999942</v>
      </c>
      <c r="I97" s="96">
        <v>-2108.5999999999913</v>
      </c>
      <c r="J97" s="96">
        <v>-2027.5</v>
      </c>
      <c r="K97" s="96">
        <v>-1905.8499999999913</v>
      </c>
      <c r="L97" s="96">
        <v>-1419.25</v>
      </c>
      <c r="M97" s="96">
        <v>-1378.6999999999971</v>
      </c>
      <c r="N97" s="96">
        <v>-1378.6999999999971</v>
      </c>
      <c r="O97" s="109">
        <v>-19058.499999999964</v>
      </c>
    </row>
    <row r="98" spans="1:15" x14ac:dyDescent="0.2">
      <c r="A98" s="230"/>
      <c r="B98" s="107" t="s">
        <v>26</v>
      </c>
      <c r="C98" s="108">
        <v>-81.931852876245756</v>
      </c>
      <c r="D98" s="96">
        <v>-81.931852876245756</v>
      </c>
      <c r="E98" s="96">
        <v>-55.359360051517406</v>
      </c>
      <c r="F98" s="96">
        <v>-68.645606463881577</v>
      </c>
      <c r="G98" s="96">
        <v>-88.574976082427852</v>
      </c>
      <c r="H98" s="96">
        <v>-106.28997129891341</v>
      </c>
      <c r="I98" s="96">
        <v>-115.1474689071562</v>
      </c>
      <c r="J98" s="96">
        <v>-110.71872010303481</v>
      </c>
      <c r="K98" s="96">
        <v>-104.07559689685273</v>
      </c>
      <c r="L98" s="96">
        <v>-77.503104072124373</v>
      </c>
      <c r="M98" s="96">
        <v>-75.288729670063674</v>
      </c>
      <c r="N98" s="96">
        <v>-75.288729670063674</v>
      </c>
      <c r="O98" s="109">
        <v>-1040.7559689685272</v>
      </c>
    </row>
    <row r="99" spans="1:15" x14ac:dyDescent="0.2">
      <c r="A99" s="230"/>
      <c r="B99" s="107" t="s">
        <v>27</v>
      </c>
      <c r="C99" s="108">
        <v>-1582.2818528762443</v>
      </c>
      <c r="D99" s="96">
        <v>-1582.2818528762443</v>
      </c>
      <c r="E99" s="96">
        <v>-1069.1093600515173</v>
      </c>
      <c r="F99" s="96">
        <v>-1325.6956064638773</v>
      </c>
      <c r="G99" s="96">
        <v>-1710.5749760824278</v>
      </c>
      <c r="H99" s="96">
        <v>-2052.6899712989075</v>
      </c>
      <c r="I99" s="96">
        <v>-2223.7474689071473</v>
      </c>
      <c r="J99" s="96">
        <v>-2138.2187201030347</v>
      </c>
      <c r="K99" s="96">
        <v>-2009.9255968968439</v>
      </c>
      <c r="L99" s="96">
        <v>-1496.7531040721244</v>
      </c>
      <c r="M99" s="96">
        <v>-1453.9887296700608</v>
      </c>
      <c r="N99" s="96">
        <v>-1453.9887296700608</v>
      </c>
      <c r="O99" s="109">
        <v>-20099.255968968493</v>
      </c>
    </row>
    <row r="100" spans="1:15" x14ac:dyDescent="0.2">
      <c r="A100" s="230"/>
      <c r="B100" s="107" t="s">
        <v>49</v>
      </c>
      <c r="C100" s="108">
        <v>32454.55</v>
      </c>
      <c r="D100" s="96">
        <v>32454.55</v>
      </c>
      <c r="E100" s="96">
        <v>21928.75</v>
      </c>
      <c r="F100" s="96">
        <v>27191.649999999998</v>
      </c>
      <c r="G100" s="96">
        <v>35086</v>
      </c>
      <c r="H100" s="96">
        <v>42103.199999999997</v>
      </c>
      <c r="I100" s="96">
        <v>45611.799999999996</v>
      </c>
      <c r="J100" s="96">
        <v>43857.5</v>
      </c>
      <c r="K100" s="96">
        <v>41226.049999999996</v>
      </c>
      <c r="L100" s="96">
        <v>30700.25</v>
      </c>
      <c r="M100" s="96">
        <v>29823.1</v>
      </c>
      <c r="N100" s="96">
        <v>29823.1</v>
      </c>
      <c r="O100" s="109">
        <v>412260.49999999994</v>
      </c>
    </row>
    <row r="101" spans="1:15" x14ac:dyDescent="0.2">
      <c r="A101" s="230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">
      <c r="A102" s="230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">
      <c r="A103" s="97" t="s">
        <v>81</v>
      </c>
      <c r="B103" s="97" t="s">
        <v>70</v>
      </c>
      <c r="C103" s="104">
        <v>136365.80000000002</v>
      </c>
      <c r="D103" s="105">
        <v>129673</v>
      </c>
      <c r="E103" s="105">
        <v>117960.6</v>
      </c>
      <c r="F103" s="105">
        <v>76967.199999999997</v>
      </c>
      <c r="G103" s="105">
        <v>109594.6</v>
      </c>
      <c r="H103" s="105">
        <v>127163.2</v>
      </c>
      <c r="I103" s="105">
        <v>124653.40000000001</v>
      </c>
      <c r="J103" s="105">
        <v>114614.2</v>
      </c>
      <c r="K103" s="105">
        <v>113777.60000000001</v>
      </c>
      <c r="L103" s="105">
        <v>76130.600000000006</v>
      </c>
      <c r="M103" s="105">
        <v>94535.8</v>
      </c>
      <c r="N103" s="105">
        <v>175686</v>
      </c>
      <c r="O103" s="106">
        <v>1397122.0000000002</v>
      </c>
    </row>
    <row r="104" spans="1:15" x14ac:dyDescent="0.2">
      <c r="A104" s="230"/>
      <c r="B104" s="107" t="s">
        <v>25</v>
      </c>
      <c r="C104" s="108">
        <v>-6609.6499999999651</v>
      </c>
      <c r="D104" s="96">
        <v>-6285.25</v>
      </c>
      <c r="E104" s="96">
        <v>-5717.5499999999884</v>
      </c>
      <c r="F104" s="96">
        <v>-3730.6000000000058</v>
      </c>
      <c r="G104" s="96">
        <v>-5312.0499999999884</v>
      </c>
      <c r="H104" s="96">
        <v>-6163.5999999999913</v>
      </c>
      <c r="I104" s="96">
        <v>-6041.9499999999825</v>
      </c>
      <c r="J104" s="96">
        <v>-5555.3500000000058</v>
      </c>
      <c r="K104" s="96">
        <v>-5514.7999999999884</v>
      </c>
      <c r="L104" s="96">
        <v>-3690.0499999999884</v>
      </c>
      <c r="M104" s="96">
        <v>-4582.1499999999942</v>
      </c>
      <c r="N104" s="96">
        <v>-8515.5</v>
      </c>
      <c r="O104" s="109">
        <v>-67718.499999999898</v>
      </c>
    </row>
    <row r="105" spans="1:15" x14ac:dyDescent="0.2">
      <c r="A105" s="230"/>
      <c r="B105" s="107" t="s">
        <v>26</v>
      </c>
      <c r="C105" s="108">
        <v>-360.94302753589346</v>
      </c>
      <c r="D105" s="96">
        <v>-343.22803231940793</v>
      </c>
      <c r="E105" s="96">
        <v>-312.22679069055818</v>
      </c>
      <c r="F105" s="96">
        <v>-203.72244498958406</v>
      </c>
      <c r="G105" s="96">
        <v>-290.08304666995122</v>
      </c>
      <c r="H105" s="96">
        <v>-336.58490911322582</v>
      </c>
      <c r="I105" s="96">
        <v>-329.94178590704377</v>
      </c>
      <c r="J105" s="96">
        <v>-303.36929308231538</v>
      </c>
      <c r="K105" s="96">
        <v>-301.1549186802547</v>
      </c>
      <c r="L105" s="96">
        <v>-201.50807058752335</v>
      </c>
      <c r="M105" s="96">
        <v>-250.22430743285869</v>
      </c>
      <c r="N105" s="96">
        <v>-465.01862443274626</v>
      </c>
      <c r="O105" s="109">
        <v>-3698.0052514413628</v>
      </c>
    </row>
    <row r="106" spans="1:15" x14ac:dyDescent="0.2">
      <c r="A106" s="230"/>
      <c r="B106" s="107" t="s">
        <v>27</v>
      </c>
      <c r="C106" s="108">
        <v>-6970.5930275358587</v>
      </c>
      <c r="D106" s="96">
        <v>-6628.4780323194082</v>
      </c>
      <c r="E106" s="96">
        <v>-6029.7767906905465</v>
      </c>
      <c r="F106" s="96">
        <v>-3934.3224449895897</v>
      </c>
      <c r="G106" s="96">
        <v>-5602.1330466699392</v>
      </c>
      <c r="H106" s="96">
        <v>-6500.1849091132171</v>
      </c>
      <c r="I106" s="96">
        <v>-6371.8917859070261</v>
      </c>
      <c r="J106" s="96">
        <v>-5858.7192930823212</v>
      </c>
      <c r="K106" s="96">
        <v>-5815.9549186802433</v>
      </c>
      <c r="L106" s="96">
        <v>-3891.5580705875118</v>
      </c>
      <c r="M106" s="96">
        <v>-4832.3743074328531</v>
      </c>
      <c r="N106" s="96">
        <v>-8980.5186244327469</v>
      </c>
      <c r="O106" s="109">
        <v>-71416.505251441253</v>
      </c>
    </row>
    <row r="107" spans="1:15" x14ac:dyDescent="0.2">
      <c r="A107" s="230"/>
      <c r="B107" s="107" t="s">
        <v>49</v>
      </c>
      <c r="C107" s="108">
        <v>142975.44999999998</v>
      </c>
      <c r="D107" s="96">
        <v>135958.25</v>
      </c>
      <c r="E107" s="96">
        <v>123678.15</v>
      </c>
      <c r="F107" s="96">
        <v>80697.8</v>
      </c>
      <c r="G107" s="96">
        <v>114906.65</v>
      </c>
      <c r="H107" s="96">
        <v>133326.79999999999</v>
      </c>
      <c r="I107" s="96">
        <v>130695.34999999999</v>
      </c>
      <c r="J107" s="96">
        <v>120169.55</v>
      </c>
      <c r="K107" s="96">
        <v>119292.4</v>
      </c>
      <c r="L107" s="96">
        <v>79820.649999999994</v>
      </c>
      <c r="M107" s="96">
        <v>99117.95</v>
      </c>
      <c r="N107" s="96">
        <v>184201.5</v>
      </c>
      <c r="O107" s="109">
        <v>1464840.4999999998</v>
      </c>
    </row>
    <row r="108" spans="1:15" x14ac:dyDescent="0.2">
      <c r="A108" s="230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">
      <c r="A109" s="230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">
      <c r="A110" s="97" t="s">
        <v>83</v>
      </c>
      <c r="B110" s="97" t="s">
        <v>70</v>
      </c>
      <c r="C110" s="104">
        <v>40156.800000000003</v>
      </c>
      <c r="D110" s="105">
        <v>37647</v>
      </c>
      <c r="E110" s="105">
        <v>31790.799999999999</v>
      </c>
      <c r="F110" s="105">
        <v>21751.600000000002</v>
      </c>
      <c r="G110" s="105">
        <v>35973.800000000003</v>
      </c>
      <c r="H110" s="105">
        <v>45176.4</v>
      </c>
      <c r="I110" s="105">
        <v>47686.200000000004</v>
      </c>
      <c r="J110" s="105">
        <v>45176.4</v>
      </c>
      <c r="K110" s="105">
        <v>44339.8</v>
      </c>
      <c r="L110" s="105">
        <v>25934.600000000002</v>
      </c>
      <c r="M110" s="105">
        <v>31790.799999999999</v>
      </c>
      <c r="N110" s="105">
        <v>48522.8</v>
      </c>
      <c r="O110" s="106">
        <v>455946.99999999994</v>
      </c>
    </row>
    <row r="111" spans="1:15" x14ac:dyDescent="0.2">
      <c r="A111" s="230"/>
      <c r="B111" s="107" t="s">
        <v>25</v>
      </c>
      <c r="C111" s="108">
        <v>-1946.3999999999942</v>
      </c>
      <c r="D111" s="96">
        <v>-1824.75</v>
      </c>
      <c r="E111" s="96">
        <v>-1540.8999999999978</v>
      </c>
      <c r="F111" s="96">
        <v>-1054.2999999999956</v>
      </c>
      <c r="G111" s="96">
        <v>-1743.6499999999942</v>
      </c>
      <c r="H111" s="96">
        <v>-2189.6999999999971</v>
      </c>
      <c r="I111" s="96">
        <v>-2311.3499999999913</v>
      </c>
      <c r="J111" s="96">
        <v>-2189.6999999999971</v>
      </c>
      <c r="K111" s="96">
        <v>-2149.1499999999942</v>
      </c>
      <c r="L111" s="96">
        <v>-1257.0499999999956</v>
      </c>
      <c r="M111" s="96">
        <v>-1540.8999999999978</v>
      </c>
      <c r="N111" s="96">
        <v>-2351.8999999999942</v>
      </c>
      <c r="O111" s="109">
        <v>-22099.749999999949</v>
      </c>
    </row>
    <row r="112" spans="1:15" x14ac:dyDescent="0.2">
      <c r="A112" s="230"/>
      <c r="B112" s="107" t="s">
        <v>26</v>
      </c>
      <c r="C112" s="108">
        <v>-106.28997129891341</v>
      </c>
      <c r="D112" s="96">
        <v>-99.646848092731332</v>
      </c>
      <c r="E112" s="96">
        <v>-84.146227278306455</v>
      </c>
      <c r="F112" s="96">
        <v>-57.573734453578098</v>
      </c>
      <c r="G112" s="96">
        <v>-95.218099288609949</v>
      </c>
      <c r="H112" s="96">
        <v>-119.57621771127761</v>
      </c>
      <c r="I112" s="96">
        <v>-126.21934091745969</v>
      </c>
      <c r="J112" s="96">
        <v>-119.57621771127761</v>
      </c>
      <c r="K112" s="96">
        <v>-117.36184330921691</v>
      </c>
      <c r="L112" s="96">
        <v>-68.645606463881577</v>
      </c>
      <c r="M112" s="96">
        <v>-84.146227278306455</v>
      </c>
      <c r="N112" s="96">
        <v>-128.43371531952039</v>
      </c>
      <c r="O112" s="109">
        <v>-1206.8340491230795</v>
      </c>
    </row>
    <row r="113" spans="1:15" x14ac:dyDescent="0.2">
      <c r="A113" s="230"/>
      <c r="B113" s="107" t="s">
        <v>27</v>
      </c>
      <c r="C113" s="108">
        <v>-2052.6899712989075</v>
      </c>
      <c r="D113" s="96">
        <v>-1924.3968480927313</v>
      </c>
      <c r="E113" s="96">
        <v>-1625.0462272783043</v>
      </c>
      <c r="F113" s="96">
        <v>-1111.8737344535737</v>
      </c>
      <c r="G113" s="96">
        <v>-1838.8680992886041</v>
      </c>
      <c r="H113" s="96">
        <v>-2309.2762177112745</v>
      </c>
      <c r="I113" s="96">
        <v>-2437.569340917451</v>
      </c>
      <c r="J113" s="96">
        <v>-2309.2762177112745</v>
      </c>
      <c r="K113" s="96">
        <v>-2266.5118433092111</v>
      </c>
      <c r="L113" s="96">
        <v>-1325.6956064638773</v>
      </c>
      <c r="M113" s="96">
        <v>-1625.0462272783043</v>
      </c>
      <c r="N113" s="96">
        <v>-2480.3337153195143</v>
      </c>
      <c r="O113" s="109">
        <v>-23306.584049123026</v>
      </c>
    </row>
    <row r="114" spans="1:15" x14ac:dyDescent="0.2">
      <c r="A114" s="230"/>
      <c r="B114" s="107" t="s">
        <v>49</v>
      </c>
      <c r="C114" s="108">
        <v>42103.199999999997</v>
      </c>
      <c r="D114" s="96">
        <v>39471.75</v>
      </c>
      <c r="E114" s="96">
        <v>33331.699999999997</v>
      </c>
      <c r="F114" s="96">
        <v>22805.899999999998</v>
      </c>
      <c r="G114" s="96">
        <v>37717.449999999997</v>
      </c>
      <c r="H114" s="96">
        <v>47366.1</v>
      </c>
      <c r="I114" s="96">
        <v>49997.549999999996</v>
      </c>
      <c r="J114" s="96">
        <v>47366.1</v>
      </c>
      <c r="K114" s="96">
        <v>46488.95</v>
      </c>
      <c r="L114" s="96">
        <v>27191.649999999998</v>
      </c>
      <c r="M114" s="96">
        <v>33331.699999999997</v>
      </c>
      <c r="N114" s="96">
        <v>50874.7</v>
      </c>
      <c r="O114" s="109">
        <v>478046.75000000006</v>
      </c>
    </row>
    <row r="115" spans="1:15" x14ac:dyDescent="0.2">
      <c r="A115" s="230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">
      <c r="A116" s="230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">
      <c r="A117" s="97" t="s">
        <v>71</v>
      </c>
      <c r="B117" s="98"/>
      <c r="C117" s="104">
        <v>7075962.7999999998</v>
      </c>
      <c r="D117" s="105">
        <v>6852590.6000000015</v>
      </c>
      <c r="E117" s="105">
        <v>6087101.5999999996</v>
      </c>
      <c r="F117" s="105">
        <v>5404435.9999999991</v>
      </c>
      <c r="G117" s="105">
        <v>7388851.1999999993</v>
      </c>
      <c r="H117" s="105">
        <v>8599411.4000000004</v>
      </c>
      <c r="I117" s="105">
        <v>9007672.1999999993</v>
      </c>
      <c r="J117" s="105">
        <v>8778443.8000000007</v>
      </c>
      <c r="K117" s="105">
        <v>8150993.7999999998</v>
      </c>
      <c r="L117" s="105">
        <v>5895520.2000000002</v>
      </c>
      <c r="M117" s="105">
        <v>6035232.4000000013</v>
      </c>
      <c r="N117" s="105">
        <v>8294052.4000000004</v>
      </c>
      <c r="O117" s="106">
        <v>87570268.400000006</v>
      </c>
    </row>
    <row r="118" spans="1:15" x14ac:dyDescent="0.2">
      <c r="A118" s="97" t="s">
        <v>28</v>
      </c>
      <c r="B118" s="98"/>
      <c r="C118" s="243">
        <v>-342971.89999999979</v>
      </c>
      <c r="D118" s="244">
        <v>-332145.04999999952</v>
      </c>
      <c r="E118" s="244">
        <v>-295041.79999999993</v>
      </c>
      <c r="F118" s="244">
        <v>-261952.99999999977</v>
      </c>
      <c r="G118" s="244">
        <v>-358137.59999999905</v>
      </c>
      <c r="H118" s="244">
        <v>-416813.44999999955</v>
      </c>
      <c r="I118" s="244">
        <v>-436601.84999999974</v>
      </c>
      <c r="J118" s="244">
        <v>-425491.14999999927</v>
      </c>
      <c r="K118" s="244">
        <v>-395078.64999999886</v>
      </c>
      <c r="L118" s="244">
        <v>-285755.84999999974</v>
      </c>
      <c r="M118" s="244">
        <v>-292527.69999999914</v>
      </c>
      <c r="N118" s="244">
        <v>-402012.69999999972</v>
      </c>
      <c r="O118" s="245">
        <v>-4244530.6999999946</v>
      </c>
    </row>
    <row r="119" spans="1:15" x14ac:dyDescent="0.2">
      <c r="A119" s="97" t="s">
        <v>29</v>
      </c>
      <c r="B119" s="98"/>
      <c r="C119" s="243">
        <v>-18729.178692629372</v>
      </c>
      <c r="D119" s="244">
        <v>-18137.940727279161</v>
      </c>
      <c r="E119" s="244">
        <v>-16111.788149393624</v>
      </c>
      <c r="F119" s="244">
        <v>-14304.858637312098</v>
      </c>
      <c r="G119" s="244">
        <v>-19557.354719000072</v>
      </c>
      <c r="H119" s="244">
        <v>-22761.554478781898</v>
      </c>
      <c r="I119" s="244">
        <v>-23842.169186987521</v>
      </c>
      <c r="J119" s="244">
        <v>-23235.430600822889</v>
      </c>
      <c r="K119" s="244">
        <v>-21574.649799277366</v>
      </c>
      <c r="L119" s="244">
        <v>-15604.696411321729</v>
      </c>
      <c r="M119" s="244">
        <v>-15974.496936465861</v>
      </c>
      <c r="N119" s="244">
        <v>-21953.307822029739</v>
      </c>
      <c r="O119" s="245">
        <v>-231787.42616130129</v>
      </c>
    </row>
    <row r="120" spans="1:15" x14ac:dyDescent="0.2">
      <c r="A120" s="97" t="s">
        <v>30</v>
      </c>
      <c r="B120" s="98"/>
      <c r="C120" s="243">
        <v>-361701.07869262923</v>
      </c>
      <c r="D120" s="244">
        <v>-350282.99072727875</v>
      </c>
      <c r="E120" s="244">
        <v>-311153.5881493935</v>
      </c>
      <c r="F120" s="244">
        <v>-276257.8586373119</v>
      </c>
      <c r="G120" s="244">
        <v>-377694.9547189991</v>
      </c>
      <c r="H120" s="244">
        <v>-439575.00447878148</v>
      </c>
      <c r="I120" s="244">
        <v>-460444.01918698725</v>
      </c>
      <c r="J120" s="244">
        <v>-448726.58060082217</v>
      </c>
      <c r="K120" s="244">
        <v>-416653.29979927628</v>
      </c>
      <c r="L120" s="244">
        <v>-301360.54641132144</v>
      </c>
      <c r="M120" s="244">
        <v>-308502.19693646493</v>
      </c>
      <c r="N120" s="244">
        <v>-423966.00782202953</v>
      </c>
      <c r="O120" s="245">
        <v>-4476318.126161295</v>
      </c>
    </row>
    <row r="121" spans="1:15" x14ac:dyDescent="0.2">
      <c r="A121" s="97" t="s">
        <v>61</v>
      </c>
      <c r="B121" s="98"/>
      <c r="C121" s="104">
        <v>7418934.7000000002</v>
      </c>
      <c r="D121" s="105">
        <v>7184735.6499999985</v>
      </c>
      <c r="E121" s="105">
        <v>6382143.4000000004</v>
      </c>
      <c r="F121" s="105">
        <v>5666389.0000000019</v>
      </c>
      <c r="G121" s="105">
        <v>7746988.8000000007</v>
      </c>
      <c r="H121" s="105">
        <v>9016224.8499999978</v>
      </c>
      <c r="I121" s="105">
        <v>9444274.0500000007</v>
      </c>
      <c r="J121" s="105">
        <v>9203934.9500000011</v>
      </c>
      <c r="K121" s="105">
        <v>8546072.4499999993</v>
      </c>
      <c r="L121" s="105">
        <v>6181276.0499999998</v>
      </c>
      <c r="M121" s="105">
        <v>6327760.0999999987</v>
      </c>
      <c r="N121" s="105">
        <v>8696065.0999999996</v>
      </c>
      <c r="O121" s="106">
        <v>91814799.099999994</v>
      </c>
    </row>
    <row r="122" spans="1:15" x14ac:dyDescent="0.2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">
      <c r="A123" s="110" t="s">
        <v>90</v>
      </c>
      <c r="B123" s="231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  <row r="125" spans="1:15" x14ac:dyDescent="0.2">
      <c r="L125" s="233"/>
      <c r="O125" s="233"/>
    </row>
    <row r="126" spans="1:15" x14ac:dyDescent="0.2">
      <c r="L126" s="96"/>
      <c r="O126" s="96"/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90" zoomScaleNormal="90" zoomScaleSheetLayoutView="100" workbookViewId="0">
      <selection activeCell="O4" sqref="O4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1" customWidth="1"/>
    <col min="5" max="5" width="24.28515625" style="1" customWidth="1"/>
    <col min="6" max="6" width="7.7109375" style="161" customWidth="1"/>
    <col min="7" max="7" width="8.85546875" style="161" customWidth="1"/>
    <col min="8" max="8" width="11.140625" style="161" bestFit="1" customWidth="1"/>
    <col min="9" max="9" width="11.28515625" style="162" customWidth="1"/>
    <col min="10" max="10" width="14.85546875" style="161" bestFit="1" customWidth="1"/>
    <col min="11" max="11" width="14.85546875" style="163" bestFit="1" customWidth="1"/>
    <col min="12" max="12" width="14.7109375" style="161" customWidth="1"/>
    <col min="13" max="13" width="13.42578125" style="124" bestFit="1" customWidth="1"/>
    <col min="14" max="15" width="13.42578125" style="124" customWidth="1"/>
    <col min="16" max="16" width="14.85546875" style="124" bestFit="1" customWidth="1"/>
    <col min="17" max="17" width="13.42578125" style="124" customWidth="1"/>
    <col min="18" max="18" width="15.5703125" style="229" customWidth="1"/>
    <col min="19" max="16384" width="8.7109375" style="1"/>
  </cols>
  <sheetData>
    <row r="1" spans="2:18" ht="22.5" x14ac:dyDescent="0.2">
      <c r="B1" s="10" t="s">
        <v>97</v>
      </c>
      <c r="C1" s="114"/>
      <c r="D1" s="115"/>
      <c r="E1" s="114"/>
      <c r="F1" s="116" t="s">
        <v>12</v>
      </c>
      <c r="G1" s="117"/>
      <c r="H1" s="118"/>
      <c r="I1" s="119"/>
      <c r="J1" s="236" t="str">
        <f>"True-Up ARR
(CY"&amp;R1&amp;")"</f>
        <v>True-Up ARR
(CY2022)</v>
      </c>
      <c r="K1" s="236" t="str">
        <f>"Projected ARR
(Jan'"&amp;RIGHT(R$1,2)&amp;" - Dec'"&amp;RIGHT(R$1,2)&amp;")"</f>
        <v>Projected ARR
(Jan'22 - Dec'22)</v>
      </c>
      <c r="L1" s="120" t="s">
        <v>45</v>
      </c>
      <c r="M1" s="121"/>
      <c r="N1" s="52"/>
      <c r="O1" s="52"/>
      <c r="P1" s="52"/>
      <c r="Q1" s="47"/>
      <c r="R1" s="122">
        <v>2022</v>
      </c>
    </row>
    <row r="2" spans="2:18" x14ac:dyDescent="0.2">
      <c r="B2" s="10" t="s">
        <v>52</v>
      </c>
      <c r="C2" s="114"/>
      <c r="D2" s="115"/>
      <c r="E2" s="114"/>
      <c r="F2" s="123">
        <v>9</v>
      </c>
      <c r="G2" s="253"/>
      <c r="H2" s="253"/>
      <c r="I2" s="125" t="s">
        <v>6</v>
      </c>
      <c r="J2" s="126">
        <v>87570159.94265613</v>
      </c>
      <c r="K2" s="126">
        <v>85819554.974326938</v>
      </c>
      <c r="L2" s="247"/>
      <c r="M2" s="128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CY2022 SPP Network Transmission Service</v>
      </c>
      <c r="C3" s="114"/>
      <c r="D3" s="115"/>
      <c r="E3" s="114"/>
      <c r="F3" s="123"/>
      <c r="G3" s="253"/>
      <c r="H3" s="253"/>
      <c r="I3" s="125" t="s">
        <v>10</v>
      </c>
      <c r="J3" s="129">
        <v>836.6</v>
      </c>
      <c r="K3" s="129">
        <v>877.15</v>
      </c>
      <c r="L3" s="150" t="str">
        <f>"Inv. Jan-Dec'"&amp;RIGHT(R1,2)</f>
        <v>Inv. Jan-Dec'22</v>
      </c>
      <c r="M3" s="128"/>
      <c r="N3" s="52"/>
      <c r="O3" s="52"/>
      <c r="P3" s="52"/>
      <c r="Q3" s="52"/>
      <c r="R3" s="1"/>
    </row>
    <row r="4" spans="2:18" x14ac:dyDescent="0.2">
      <c r="B4" s="9"/>
      <c r="C4" s="114"/>
      <c r="D4" s="115"/>
      <c r="E4" s="114"/>
      <c r="F4" s="123"/>
      <c r="G4" s="124"/>
      <c r="H4" s="124"/>
      <c r="I4" s="51"/>
      <c r="J4" s="124"/>
      <c r="K4" s="130"/>
      <c r="L4" s="124"/>
      <c r="M4" s="131"/>
      <c r="R4" s="1"/>
    </row>
    <row r="5" spans="2:18" x14ac:dyDescent="0.2">
      <c r="B5" s="9"/>
      <c r="C5" s="114"/>
      <c r="D5" s="115"/>
      <c r="E5" s="114"/>
      <c r="F5" s="123"/>
      <c r="G5" s="124"/>
      <c r="H5" s="124"/>
      <c r="I5" s="125"/>
      <c r="J5" s="124"/>
      <c r="K5" s="126">
        <v>0</v>
      </c>
      <c r="L5" s="232"/>
      <c r="M5" s="132"/>
      <c r="N5" s="133"/>
      <c r="O5" s="133"/>
      <c r="P5" s="133"/>
      <c r="Q5" s="133"/>
      <c r="R5" s="134"/>
    </row>
    <row r="6" spans="2:18" x14ac:dyDescent="0.2">
      <c r="B6" s="10" t="s">
        <v>23</v>
      </c>
      <c r="D6" s="115"/>
      <c r="E6" s="114"/>
      <c r="F6" s="135"/>
      <c r="G6" s="136"/>
      <c r="H6" s="137"/>
      <c r="I6" s="138"/>
      <c r="J6" s="139"/>
      <c r="K6" s="129">
        <v>0</v>
      </c>
      <c r="L6" s="140"/>
      <c r="M6" s="132"/>
      <c r="N6" s="133"/>
      <c r="O6" s="133"/>
      <c r="P6" s="133"/>
      <c r="Q6" s="133"/>
      <c r="R6" s="1"/>
    </row>
    <row r="7" spans="2:18" x14ac:dyDescent="0.2">
      <c r="B7" s="9" t="s">
        <v>77</v>
      </c>
      <c r="D7" s="115"/>
      <c r="E7" s="114"/>
      <c r="F7" s="123"/>
      <c r="G7" s="254"/>
      <c r="H7" s="253"/>
      <c r="I7" s="125"/>
      <c r="J7" s="141"/>
      <c r="K7" s="127"/>
      <c r="L7" s="127"/>
      <c r="M7" s="142"/>
      <c r="N7" s="143"/>
      <c r="O7" s="143"/>
      <c r="P7" s="143"/>
      <c r="Q7" s="143"/>
      <c r="R7" s="1"/>
    </row>
    <row r="8" spans="2:18" x14ac:dyDescent="0.2">
      <c r="B8" s="10"/>
      <c r="C8" s="114"/>
      <c r="D8" s="115"/>
      <c r="E8" s="114"/>
      <c r="F8" s="123"/>
      <c r="G8" s="253"/>
      <c r="H8" s="253"/>
      <c r="I8" s="125"/>
      <c r="J8" s="144"/>
      <c r="K8" s="127"/>
      <c r="L8" s="145"/>
      <c r="M8" s="128"/>
      <c r="N8" s="52"/>
      <c r="O8" s="52"/>
      <c r="P8" s="52"/>
      <c r="Q8" s="52"/>
      <c r="R8" s="134"/>
    </row>
    <row r="9" spans="2:18" x14ac:dyDescent="0.2">
      <c r="B9" s="146"/>
      <c r="C9" s="114"/>
      <c r="D9" s="115"/>
      <c r="E9" s="114"/>
      <c r="F9" s="123"/>
      <c r="G9" s="124"/>
      <c r="H9" s="124"/>
      <c r="I9" s="147"/>
      <c r="J9" s="148"/>
      <c r="K9" s="149"/>
      <c r="L9" s="150"/>
      <c r="M9" s="128"/>
      <c r="N9" s="52"/>
      <c r="O9" s="52"/>
      <c r="P9" s="52"/>
      <c r="Q9" s="52"/>
      <c r="R9" s="134"/>
    </row>
    <row r="10" spans="2:18" ht="13.5" thickBot="1" x14ac:dyDescent="0.25">
      <c r="B10" s="9"/>
      <c r="D10" s="1"/>
      <c r="E10" s="151"/>
      <c r="F10" s="152"/>
      <c r="G10" s="153"/>
      <c r="H10" s="154"/>
      <c r="I10" s="155"/>
      <c r="J10" s="156"/>
      <c r="K10" s="156"/>
      <c r="L10" s="157"/>
      <c r="M10" s="158"/>
      <c r="R10" s="159"/>
    </row>
    <row r="11" spans="2:18" x14ac:dyDescent="0.2">
      <c r="B11" s="160"/>
      <c r="E11" s="151"/>
      <c r="L11" s="164"/>
      <c r="M11" s="1"/>
      <c r="N11" s="1"/>
      <c r="O11" s="1"/>
      <c r="P11" s="1"/>
      <c r="Q11" s="1"/>
      <c r="R11" s="134"/>
    </row>
    <row r="12" spans="2:18" x14ac:dyDescent="0.2">
      <c r="E12" s="151"/>
      <c r="L12" s="164"/>
      <c r="R12" s="165" t="s">
        <v>60</v>
      </c>
    </row>
    <row r="13" spans="2:18" x14ac:dyDescent="0.2">
      <c r="E13" s="151"/>
      <c r="F13" s="166"/>
      <c r="G13" s="167"/>
      <c r="H13" s="167"/>
      <c r="I13" s="168" t="s">
        <v>58</v>
      </c>
      <c r="J13" s="169">
        <f t="shared" ref="J13:R13" si="0">SUM(J56:J211)</f>
        <v>23227362.399999999</v>
      </c>
      <c r="K13" s="169">
        <f t="shared" si="0"/>
        <v>24353192.600000001</v>
      </c>
      <c r="L13" s="170">
        <f t="shared" si="0"/>
        <v>-1125830.1999999986</v>
      </c>
      <c r="M13" s="171">
        <f t="shared" si="0"/>
        <v>-61479.890898813101</v>
      </c>
      <c r="N13" s="169">
        <f t="shared" si="0"/>
        <v>-1187310.0908988107</v>
      </c>
      <c r="O13" s="169">
        <f t="shared" si="0"/>
        <v>0</v>
      </c>
      <c r="P13" s="169">
        <f t="shared" si="0"/>
        <v>0</v>
      </c>
      <c r="Q13" s="169">
        <f t="shared" si="0"/>
        <v>0</v>
      </c>
      <c r="R13" s="170">
        <f t="shared" si="0"/>
        <v>-1187310.0908988107</v>
      </c>
    </row>
    <row r="14" spans="2:18" x14ac:dyDescent="0.2">
      <c r="E14" s="151"/>
      <c r="F14" s="172"/>
      <c r="G14" s="172"/>
      <c r="H14" s="172"/>
      <c r="I14" s="173" t="s">
        <v>59</v>
      </c>
      <c r="J14" s="169">
        <f>SUM(J20:J211)</f>
        <v>87570268.400000036</v>
      </c>
      <c r="K14" s="169">
        <f>SUM(K20:K211)</f>
        <v>91814799.099999964</v>
      </c>
      <c r="L14" s="170">
        <f>SUM(L20:L211)</f>
        <v>-4244530.6999999937</v>
      </c>
      <c r="M14" s="234">
        <v>-231787.42616130132</v>
      </c>
      <c r="N14" s="169">
        <f>SUM(N20:N211)</f>
        <v>-4476318.1261612894</v>
      </c>
      <c r="O14" s="169">
        <f>SUM(O20:O211)</f>
        <v>0</v>
      </c>
      <c r="P14" s="169">
        <f>SUM(P20:P211)</f>
        <v>0</v>
      </c>
      <c r="Q14" s="169">
        <f>SUM(Q20:Q211)</f>
        <v>0</v>
      </c>
      <c r="R14" s="170">
        <f>SUM(R20:R211)</f>
        <v>-4476318.1261612894</v>
      </c>
    </row>
    <row r="15" spans="2:18" x14ac:dyDescent="0.2">
      <c r="B15" s="174" t="s">
        <v>82</v>
      </c>
      <c r="E15" s="151"/>
      <c r="J15" s="162"/>
      <c r="L15" s="164"/>
      <c r="M15" s="246"/>
      <c r="N15" s="175"/>
      <c r="O15" s="175"/>
      <c r="P15" s="175"/>
      <c r="Q15" s="175"/>
      <c r="R15" s="176" t="s">
        <v>20</v>
      </c>
    </row>
    <row r="16" spans="2:18" x14ac:dyDescent="0.2">
      <c r="B16" s="177" t="str">
        <f>"** Actual Trued-Up CY"&amp;R1&amp;" Charge reflects "&amp;R1&amp;" True-UP Rate x MW"</f>
        <v>** Actual Trued-Up CY2022 Charge reflects 2022 True-UP Rate x MW</v>
      </c>
      <c r="E16" s="151"/>
      <c r="F16" s="124"/>
      <c r="G16" s="5"/>
      <c r="J16" s="178"/>
      <c r="L16" s="179" t="s">
        <v>11</v>
      </c>
      <c r="M16" s="175"/>
      <c r="N16" s="175"/>
      <c r="O16" s="175"/>
      <c r="P16" s="175"/>
      <c r="Q16" s="175"/>
      <c r="R16" s="180"/>
    </row>
    <row r="17" spans="1:18" x14ac:dyDescent="0.2">
      <c r="B17" s="181" t="s">
        <v>62</v>
      </c>
      <c r="E17" s="151"/>
      <c r="I17" s="182"/>
      <c r="J17" s="183"/>
      <c r="K17" s="184"/>
      <c r="L17" s="184"/>
      <c r="M17" s="184"/>
      <c r="N17" s="184"/>
      <c r="O17" s="184"/>
      <c r="P17" s="184"/>
      <c r="Q17" s="184"/>
      <c r="R17" s="185"/>
    </row>
    <row r="18" spans="1:18" ht="3.6" customHeight="1" x14ac:dyDescent="0.2">
      <c r="I18" s="186"/>
      <c r="J18" s="183"/>
      <c r="K18" s="186"/>
      <c r="L18" s="186"/>
      <c r="M18" s="187"/>
      <c r="N18" s="187"/>
      <c r="O18" s="187"/>
      <c r="P18" s="187"/>
      <c r="Q18" s="187"/>
      <c r="R18" s="188"/>
    </row>
    <row r="19" spans="1:18" ht="38.25" customHeight="1" x14ac:dyDescent="0.2">
      <c r="B19" s="189" t="s">
        <v>53</v>
      </c>
      <c r="C19" s="248" t="s">
        <v>4</v>
      </c>
      <c r="D19" s="248" t="s">
        <v>5</v>
      </c>
      <c r="E19" s="249" t="s">
        <v>0</v>
      </c>
      <c r="F19" s="250" t="s">
        <v>12</v>
      </c>
      <c r="G19" s="251" t="s">
        <v>1</v>
      </c>
      <c r="H19" s="190" t="s">
        <v>48</v>
      </c>
      <c r="I19" s="190" t="s">
        <v>46</v>
      </c>
      <c r="J19" s="191" t="str">
        <f>"True-Up Charge"</f>
        <v>True-Up Charge</v>
      </c>
      <c r="K19" s="191" t="s">
        <v>47</v>
      </c>
      <c r="L19" s="192" t="s">
        <v>3</v>
      </c>
      <c r="M19" s="193" t="s">
        <v>7</v>
      </c>
      <c r="N19" s="194" t="s">
        <v>98</v>
      </c>
      <c r="O19" s="194" t="s">
        <v>84</v>
      </c>
      <c r="P19" s="194" t="s">
        <v>85</v>
      </c>
      <c r="Q19" s="194" t="s">
        <v>86</v>
      </c>
      <c r="R19" s="195" t="s">
        <v>2</v>
      </c>
    </row>
    <row r="20" spans="1:18" s="52" customFormat="1" ht="12.75" customHeight="1" x14ac:dyDescent="0.2">
      <c r="A20" s="124">
        <v>1</v>
      </c>
      <c r="B20" s="196">
        <f>DATE($R$1,A20,1)</f>
        <v>44562</v>
      </c>
      <c r="C20" s="237">
        <v>44595</v>
      </c>
      <c r="D20" s="237">
        <v>44615</v>
      </c>
      <c r="E20" s="197" t="s">
        <v>21</v>
      </c>
      <c r="F20" s="124">
        <v>9</v>
      </c>
      <c r="G20" s="198">
        <v>2899</v>
      </c>
      <c r="H20" s="199">
        <f>+$K$3</f>
        <v>877.15</v>
      </c>
      <c r="I20" s="199">
        <f t="shared" ref="I20:I63" si="1">$J$3</f>
        <v>836.6</v>
      </c>
      <c r="J20" s="200">
        <f t="shared" ref="J20:J108" si="2">+$G20*I20</f>
        <v>2425303.4</v>
      </c>
      <c r="K20" s="201">
        <f>+$G20*H20</f>
        <v>2542857.85</v>
      </c>
      <c r="L20" s="202">
        <f t="shared" ref="L20:L34" si="3">+J20-K20</f>
        <v>-117554.45000000019</v>
      </c>
      <c r="M20" s="203">
        <f>G20/$G$212*$M$14</f>
        <v>-6419.4713915739585</v>
      </c>
      <c r="N20" s="204">
        <f>SUM(L20:M20)</f>
        <v>-123973.92139157414</v>
      </c>
      <c r="O20" s="203">
        <v>0</v>
      </c>
      <c r="P20" s="203">
        <v>0</v>
      </c>
      <c r="Q20" s="203">
        <v>0</v>
      </c>
      <c r="R20" s="204">
        <f>+N20-Q20</f>
        <v>-123973.92139157414</v>
      </c>
    </row>
    <row r="21" spans="1:18" x14ac:dyDescent="0.2">
      <c r="A21" s="161">
        <v>2</v>
      </c>
      <c r="B21" s="196">
        <f t="shared" ref="B21:B108" si="4">DATE($R$1,A21,1)</f>
        <v>44593</v>
      </c>
      <c r="C21" s="237">
        <v>44623</v>
      </c>
      <c r="D21" s="237">
        <v>44642</v>
      </c>
      <c r="E21" s="205" t="s">
        <v>21</v>
      </c>
      <c r="F21" s="161">
        <v>9</v>
      </c>
      <c r="G21" s="198">
        <v>2759</v>
      </c>
      <c r="H21" s="199">
        <f t="shared" ref="H21:H84" si="5">+$K$3</f>
        <v>877.15</v>
      </c>
      <c r="I21" s="199">
        <f t="shared" si="1"/>
        <v>836.6</v>
      </c>
      <c r="J21" s="200">
        <f t="shared" si="2"/>
        <v>2308179.4</v>
      </c>
      <c r="K21" s="201">
        <f t="shared" ref="K21:K33" si="6">+$G21*H21</f>
        <v>2420056.85</v>
      </c>
      <c r="L21" s="202">
        <f t="shared" si="3"/>
        <v>-111877.45000000019</v>
      </c>
      <c r="M21" s="203">
        <f t="shared" ref="M21:M84" si="7">G21/$G$212*$M$14</f>
        <v>-6109.4589752854608</v>
      </c>
      <c r="N21" s="204">
        <f t="shared" ref="N21:N84" si="8">SUM(L21:M21)</f>
        <v>-117986.90897528565</v>
      </c>
      <c r="O21" s="203">
        <v>0</v>
      </c>
      <c r="P21" s="203">
        <v>0</v>
      </c>
      <c r="Q21" s="203">
        <v>0</v>
      </c>
      <c r="R21" s="204">
        <f t="shared" ref="R21:R84" si="9">+N21-Q21</f>
        <v>-117986.90897528565</v>
      </c>
    </row>
    <row r="22" spans="1:18" x14ac:dyDescent="0.2">
      <c r="A22" s="161">
        <v>3</v>
      </c>
      <c r="B22" s="196">
        <f t="shared" si="4"/>
        <v>44621</v>
      </c>
      <c r="C22" s="237">
        <v>44656</v>
      </c>
      <c r="D22" s="237">
        <v>44676</v>
      </c>
      <c r="E22" s="205" t="s">
        <v>21</v>
      </c>
      <c r="F22" s="161">
        <v>9</v>
      </c>
      <c r="G22" s="198">
        <v>2450</v>
      </c>
      <c r="H22" s="199">
        <f t="shared" si="5"/>
        <v>877.15</v>
      </c>
      <c r="I22" s="199">
        <f t="shared" si="1"/>
        <v>836.6</v>
      </c>
      <c r="J22" s="200">
        <f t="shared" si="2"/>
        <v>2049670</v>
      </c>
      <c r="K22" s="201">
        <f t="shared" si="6"/>
        <v>2149017.5</v>
      </c>
      <c r="L22" s="202">
        <f t="shared" si="3"/>
        <v>-99347.5</v>
      </c>
      <c r="M22" s="203">
        <f t="shared" si="7"/>
        <v>-5425.2172850487059</v>
      </c>
      <c r="N22" s="204">
        <f t="shared" si="8"/>
        <v>-104772.71728504871</v>
      </c>
      <c r="O22" s="203">
        <v>0</v>
      </c>
      <c r="P22" s="203">
        <v>0</v>
      </c>
      <c r="Q22" s="203">
        <v>0</v>
      </c>
      <c r="R22" s="204">
        <f t="shared" si="9"/>
        <v>-104772.71728504871</v>
      </c>
    </row>
    <row r="23" spans="1:18" x14ac:dyDescent="0.2">
      <c r="A23" s="124">
        <v>4</v>
      </c>
      <c r="B23" s="196">
        <f t="shared" si="4"/>
        <v>44652</v>
      </c>
      <c r="C23" s="237">
        <v>44685</v>
      </c>
      <c r="D23" s="237">
        <v>44705</v>
      </c>
      <c r="E23" s="205" t="s">
        <v>21</v>
      </c>
      <c r="F23" s="161">
        <v>9</v>
      </c>
      <c r="G23" s="198">
        <v>2395</v>
      </c>
      <c r="H23" s="199">
        <f t="shared" si="5"/>
        <v>877.15</v>
      </c>
      <c r="I23" s="199">
        <f t="shared" si="1"/>
        <v>836.6</v>
      </c>
      <c r="J23" s="200">
        <f t="shared" si="2"/>
        <v>2003657</v>
      </c>
      <c r="K23" s="201">
        <f t="shared" si="6"/>
        <v>2100774.25</v>
      </c>
      <c r="L23" s="202">
        <f t="shared" si="3"/>
        <v>-97117.25</v>
      </c>
      <c r="M23" s="203">
        <f t="shared" si="7"/>
        <v>-5303.4266929353671</v>
      </c>
      <c r="N23" s="204">
        <f t="shared" si="8"/>
        <v>-102420.67669293536</v>
      </c>
      <c r="O23" s="203">
        <v>0</v>
      </c>
      <c r="P23" s="203">
        <v>0</v>
      </c>
      <c r="Q23" s="203">
        <v>0</v>
      </c>
      <c r="R23" s="204">
        <f t="shared" si="9"/>
        <v>-102420.67669293536</v>
      </c>
    </row>
    <row r="24" spans="1:18" ht="12" customHeight="1" x14ac:dyDescent="0.2">
      <c r="A24" s="161">
        <v>5</v>
      </c>
      <c r="B24" s="196">
        <f t="shared" si="4"/>
        <v>44682</v>
      </c>
      <c r="C24" s="237">
        <v>44715</v>
      </c>
      <c r="D24" s="237">
        <v>44735</v>
      </c>
      <c r="E24" s="54" t="s">
        <v>21</v>
      </c>
      <c r="F24" s="161">
        <v>9</v>
      </c>
      <c r="G24" s="198">
        <v>3482</v>
      </c>
      <c r="H24" s="199">
        <f t="shared" si="5"/>
        <v>877.15</v>
      </c>
      <c r="I24" s="199">
        <f t="shared" si="1"/>
        <v>836.6</v>
      </c>
      <c r="J24" s="200">
        <f t="shared" si="2"/>
        <v>2913041.2</v>
      </c>
      <c r="K24" s="201">
        <f t="shared" si="6"/>
        <v>3054236.3</v>
      </c>
      <c r="L24" s="202">
        <f t="shared" si="3"/>
        <v>-141195.09999999963</v>
      </c>
      <c r="M24" s="203">
        <f t="shared" si="7"/>
        <v>-7710.4516679753451</v>
      </c>
      <c r="N24" s="204">
        <f t="shared" si="8"/>
        <v>-148905.55166797497</v>
      </c>
      <c r="O24" s="203">
        <v>0</v>
      </c>
      <c r="P24" s="203">
        <v>0</v>
      </c>
      <c r="Q24" s="203">
        <v>0</v>
      </c>
      <c r="R24" s="204">
        <f t="shared" si="9"/>
        <v>-148905.55166797497</v>
      </c>
    </row>
    <row r="25" spans="1:18" x14ac:dyDescent="0.2">
      <c r="A25" s="161">
        <v>6</v>
      </c>
      <c r="B25" s="196">
        <f t="shared" si="4"/>
        <v>44713</v>
      </c>
      <c r="C25" s="237">
        <v>44747</v>
      </c>
      <c r="D25" s="237">
        <v>44767</v>
      </c>
      <c r="E25" s="54" t="s">
        <v>21</v>
      </c>
      <c r="F25" s="161">
        <v>9</v>
      </c>
      <c r="G25" s="198">
        <v>4006</v>
      </c>
      <c r="H25" s="199">
        <f t="shared" si="5"/>
        <v>877.15</v>
      </c>
      <c r="I25" s="199">
        <f t="shared" si="1"/>
        <v>836.6</v>
      </c>
      <c r="J25" s="200">
        <f t="shared" si="2"/>
        <v>3351419.6</v>
      </c>
      <c r="K25" s="201">
        <f t="shared" si="6"/>
        <v>3513862.9</v>
      </c>
      <c r="L25" s="206">
        <f t="shared" si="3"/>
        <v>-162443.29999999981</v>
      </c>
      <c r="M25" s="203">
        <f t="shared" si="7"/>
        <v>-8870.7838546551502</v>
      </c>
      <c r="N25" s="204">
        <f t="shared" si="8"/>
        <v>-171314.08385465498</v>
      </c>
      <c r="O25" s="203">
        <v>0</v>
      </c>
      <c r="P25" s="203">
        <v>0</v>
      </c>
      <c r="Q25" s="203">
        <v>0</v>
      </c>
      <c r="R25" s="204">
        <f t="shared" si="9"/>
        <v>-171314.08385465498</v>
      </c>
    </row>
    <row r="26" spans="1:18" x14ac:dyDescent="0.2">
      <c r="A26" s="124">
        <v>7</v>
      </c>
      <c r="B26" s="196">
        <f t="shared" si="4"/>
        <v>44743</v>
      </c>
      <c r="C26" s="237">
        <v>44776</v>
      </c>
      <c r="D26" s="237">
        <v>44796</v>
      </c>
      <c r="E26" s="54" t="s">
        <v>21</v>
      </c>
      <c r="F26" s="161">
        <v>9</v>
      </c>
      <c r="G26" s="198">
        <v>4230</v>
      </c>
      <c r="H26" s="199">
        <f t="shared" si="5"/>
        <v>877.15</v>
      </c>
      <c r="I26" s="199">
        <f t="shared" si="1"/>
        <v>836.6</v>
      </c>
      <c r="J26" s="200">
        <f t="shared" si="2"/>
        <v>3538818</v>
      </c>
      <c r="K26" s="207">
        <f t="shared" si="6"/>
        <v>3710344.5</v>
      </c>
      <c r="L26" s="206">
        <f t="shared" si="3"/>
        <v>-171526.5</v>
      </c>
      <c r="M26" s="203">
        <f t="shared" si="7"/>
        <v>-9366.8037207167454</v>
      </c>
      <c r="N26" s="204">
        <f t="shared" si="8"/>
        <v>-180893.30372071674</v>
      </c>
      <c r="O26" s="203">
        <v>0</v>
      </c>
      <c r="P26" s="203">
        <v>0</v>
      </c>
      <c r="Q26" s="203">
        <v>0</v>
      </c>
      <c r="R26" s="204">
        <f t="shared" si="9"/>
        <v>-180893.30372071674</v>
      </c>
    </row>
    <row r="27" spans="1:18" x14ac:dyDescent="0.2">
      <c r="A27" s="161">
        <v>8</v>
      </c>
      <c r="B27" s="196">
        <f t="shared" si="4"/>
        <v>44774</v>
      </c>
      <c r="C27" s="237">
        <v>44809</v>
      </c>
      <c r="D27" s="237">
        <v>44827</v>
      </c>
      <c r="E27" s="54" t="s">
        <v>21</v>
      </c>
      <c r="F27" s="161">
        <v>9</v>
      </c>
      <c r="G27" s="198">
        <v>4151</v>
      </c>
      <c r="H27" s="199">
        <f t="shared" si="5"/>
        <v>877.15</v>
      </c>
      <c r="I27" s="199">
        <f t="shared" si="1"/>
        <v>836.6</v>
      </c>
      <c r="J27" s="200">
        <f t="shared" si="2"/>
        <v>3472726.6</v>
      </c>
      <c r="K27" s="207">
        <f t="shared" si="6"/>
        <v>3641049.65</v>
      </c>
      <c r="L27" s="206">
        <f t="shared" si="3"/>
        <v>-168323.04999999981</v>
      </c>
      <c r="M27" s="203">
        <f t="shared" si="7"/>
        <v>-9191.8681429539502</v>
      </c>
      <c r="N27" s="204">
        <f t="shared" si="8"/>
        <v>-177514.91814295377</v>
      </c>
      <c r="O27" s="203">
        <v>0</v>
      </c>
      <c r="P27" s="203">
        <v>0</v>
      </c>
      <c r="Q27" s="203">
        <v>0</v>
      </c>
      <c r="R27" s="204">
        <f t="shared" si="9"/>
        <v>-177514.91814295377</v>
      </c>
    </row>
    <row r="28" spans="1:18" x14ac:dyDescent="0.2">
      <c r="A28" s="161">
        <v>9</v>
      </c>
      <c r="B28" s="196">
        <f t="shared" si="4"/>
        <v>44805</v>
      </c>
      <c r="C28" s="237">
        <v>44839</v>
      </c>
      <c r="D28" s="237">
        <v>44859</v>
      </c>
      <c r="E28" s="54" t="s">
        <v>21</v>
      </c>
      <c r="F28" s="161">
        <v>9</v>
      </c>
      <c r="G28" s="198">
        <v>3898</v>
      </c>
      <c r="H28" s="199">
        <f t="shared" si="5"/>
        <v>877.15</v>
      </c>
      <c r="I28" s="199">
        <f t="shared" si="1"/>
        <v>836.6</v>
      </c>
      <c r="J28" s="200">
        <f t="shared" si="2"/>
        <v>3261066.8000000003</v>
      </c>
      <c r="K28" s="207">
        <f t="shared" si="6"/>
        <v>3419130.6999999997</v>
      </c>
      <c r="L28" s="206">
        <f t="shared" si="3"/>
        <v>-158063.89999999944</v>
      </c>
      <c r="M28" s="203">
        <f t="shared" si="7"/>
        <v>-8631.6314192325954</v>
      </c>
      <c r="N28" s="204">
        <f t="shared" si="8"/>
        <v>-166695.53141923202</v>
      </c>
      <c r="O28" s="203">
        <v>0</v>
      </c>
      <c r="P28" s="203">
        <v>0</v>
      </c>
      <c r="Q28" s="203">
        <v>0</v>
      </c>
      <c r="R28" s="204">
        <f t="shared" si="9"/>
        <v>-166695.53141923202</v>
      </c>
    </row>
    <row r="29" spans="1:18" x14ac:dyDescent="0.2">
      <c r="A29" s="124">
        <v>10</v>
      </c>
      <c r="B29" s="196">
        <f t="shared" si="4"/>
        <v>44835</v>
      </c>
      <c r="C29" s="237">
        <v>44868</v>
      </c>
      <c r="D29" s="237">
        <v>44888</v>
      </c>
      <c r="E29" s="54" t="s">
        <v>21</v>
      </c>
      <c r="F29" s="161">
        <v>9</v>
      </c>
      <c r="G29" s="198">
        <v>2760</v>
      </c>
      <c r="H29" s="199">
        <f t="shared" si="5"/>
        <v>877.15</v>
      </c>
      <c r="I29" s="199">
        <f t="shared" si="1"/>
        <v>836.6</v>
      </c>
      <c r="J29" s="200">
        <f t="shared" si="2"/>
        <v>2309016</v>
      </c>
      <c r="K29" s="207">
        <f t="shared" si="6"/>
        <v>2420934</v>
      </c>
      <c r="L29" s="206">
        <f t="shared" si="3"/>
        <v>-111918</v>
      </c>
      <c r="M29" s="203">
        <f t="shared" si="7"/>
        <v>-6111.6733496875222</v>
      </c>
      <c r="N29" s="204">
        <f t="shared" si="8"/>
        <v>-118029.67334968752</v>
      </c>
      <c r="O29" s="203">
        <v>0</v>
      </c>
      <c r="P29" s="203">
        <v>0</v>
      </c>
      <c r="Q29" s="203">
        <v>0</v>
      </c>
      <c r="R29" s="204">
        <f t="shared" si="9"/>
        <v>-118029.67334968752</v>
      </c>
    </row>
    <row r="30" spans="1:18" x14ac:dyDescent="0.2">
      <c r="A30" s="161">
        <v>11</v>
      </c>
      <c r="B30" s="196">
        <f t="shared" si="4"/>
        <v>44866</v>
      </c>
      <c r="C30" s="237">
        <v>44900</v>
      </c>
      <c r="D30" s="237">
        <v>44918</v>
      </c>
      <c r="E30" s="54" t="s">
        <v>21</v>
      </c>
      <c r="F30" s="161">
        <v>9</v>
      </c>
      <c r="G30" s="198">
        <v>2561</v>
      </c>
      <c r="H30" s="199">
        <f t="shared" si="5"/>
        <v>877.15</v>
      </c>
      <c r="I30" s="199">
        <f t="shared" si="1"/>
        <v>836.6</v>
      </c>
      <c r="J30" s="200">
        <f t="shared" si="2"/>
        <v>2142532.6</v>
      </c>
      <c r="K30" s="207">
        <f t="shared" si="6"/>
        <v>2246381.15</v>
      </c>
      <c r="L30" s="206">
        <f t="shared" si="3"/>
        <v>-103848.54999999981</v>
      </c>
      <c r="M30" s="203">
        <f t="shared" si="7"/>
        <v>-5671.012843677443</v>
      </c>
      <c r="N30" s="204">
        <f t="shared" si="8"/>
        <v>-109519.56284367725</v>
      </c>
      <c r="O30" s="203">
        <v>0</v>
      </c>
      <c r="P30" s="203">
        <v>0</v>
      </c>
      <c r="Q30" s="203">
        <v>0</v>
      </c>
      <c r="R30" s="204">
        <f t="shared" si="9"/>
        <v>-109519.56284367725</v>
      </c>
    </row>
    <row r="31" spans="1:18" x14ac:dyDescent="0.2">
      <c r="A31" s="161">
        <v>12</v>
      </c>
      <c r="B31" s="196">
        <f t="shared" si="4"/>
        <v>44896</v>
      </c>
      <c r="C31" s="238">
        <v>44930</v>
      </c>
      <c r="D31" s="239">
        <v>44950</v>
      </c>
      <c r="E31" s="54" t="s">
        <v>21</v>
      </c>
      <c r="F31" s="161">
        <v>9</v>
      </c>
      <c r="G31" s="208">
        <v>3150</v>
      </c>
      <c r="H31" s="209">
        <f t="shared" si="5"/>
        <v>877.15</v>
      </c>
      <c r="I31" s="209">
        <f t="shared" si="1"/>
        <v>836.6</v>
      </c>
      <c r="J31" s="210">
        <f t="shared" si="2"/>
        <v>2635290</v>
      </c>
      <c r="K31" s="211">
        <f t="shared" si="6"/>
        <v>2763022.5</v>
      </c>
      <c r="L31" s="212">
        <f t="shared" si="3"/>
        <v>-127732.5</v>
      </c>
      <c r="M31" s="203">
        <f t="shared" si="7"/>
        <v>-6975.2793664911933</v>
      </c>
      <c r="N31" s="204">
        <f t="shared" si="8"/>
        <v>-134707.77936649119</v>
      </c>
      <c r="O31" s="203">
        <v>0</v>
      </c>
      <c r="P31" s="203">
        <v>0</v>
      </c>
      <c r="Q31" s="203">
        <v>0</v>
      </c>
      <c r="R31" s="204">
        <f t="shared" si="9"/>
        <v>-134707.77936649119</v>
      </c>
    </row>
    <row r="32" spans="1:18" x14ac:dyDescent="0.2">
      <c r="A32" s="124">
        <v>1</v>
      </c>
      <c r="B32" s="213">
        <f t="shared" si="4"/>
        <v>44562</v>
      </c>
      <c r="C32" s="214">
        <f t="shared" ref="C32:D43" si="10">+C20</f>
        <v>44595</v>
      </c>
      <c r="D32" s="214">
        <f t="shared" si="10"/>
        <v>44615</v>
      </c>
      <c r="E32" s="215" t="s">
        <v>22</v>
      </c>
      <c r="F32" s="216">
        <v>9</v>
      </c>
      <c r="G32" s="198">
        <v>2921</v>
      </c>
      <c r="H32" s="199">
        <f t="shared" si="5"/>
        <v>877.15</v>
      </c>
      <c r="I32" s="199">
        <f t="shared" si="1"/>
        <v>836.6</v>
      </c>
      <c r="J32" s="200">
        <f t="shared" si="2"/>
        <v>2443708.6</v>
      </c>
      <c r="K32" s="201">
        <f t="shared" si="6"/>
        <v>2562155.15</v>
      </c>
      <c r="L32" s="202">
        <f t="shared" si="3"/>
        <v>-118446.54999999981</v>
      </c>
      <c r="M32" s="203">
        <f t="shared" si="7"/>
        <v>-6468.187628419294</v>
      </c>
      <c r="N32" s="204">
        <f t="shared" si="8"/>
        <v>-124914.73762841911</v>
      </c>
      <c r="O32" s="203">
        <v>0</v>
      </c>
      <c r="P32" s="203">
        <v>0</v>
      </c>
      <c r="Q32" s="203">
        <v>0</v>
      </c>
      <c r="R32" s="204">
        <f t="shared" si="9"/>
        <v>-124914.73762841911</v>
      </c>
    </row>
    <row r="33" spans="1:18" x14ac:dyDescent="0.2">
      <c r="A33" s="161">
        <v>2</v>
      </c>
      <c r="B33" s="196">
        <f t="shared" si="4"/>
        <v>44593</v>
      </c>
      <c r="C33" s="217">
        <f t="shared" si="10"/>
        <v>44623</v>
      </c>
      <c r="D33" s="217">
        <f t="shared" si="10"/>
        <v>44642</v>
      </c>
      <c r="E33" s="205" t="s">
        <v>22</v>
      </c>
      <c r="F33" s="161">
        <v>9</v>
      </c>
      <c r="G33" s="198">
        <v>2853</v>
      </c>
      <c r="H33" s="199">
        <f t="shared" si="5"/>
        <v>877.15</v>
      </c>
      <c r="I33" s="199">
        <f t="shared" si="1"/>
        <v>836.6</v>
      </c>
      <c r="J33" s="200">
        <f t="shared" si="2"/>
        <v>2386819.8000000003</v>
      </c>
      <c r="K33" s="201">
        <f t="shared" si="6"/>
        <v>2502508.9499999997</v>
      </c>
      <c r="L33" s="202">
        <f t="shared" si="3"/>
        <v>-115689.14999999944</v>
      </c>
      <c r="M33" s="203">
        <f t="shared" si="7"/>
        <v>-6317.6101690791666</v>
      </c>
      <c r="N33" s="204">
        <f t="shared" si="8"/>
        <v>-122006.76016907861</v>
      </c>
      <c r="O33" s="203">
        <v>0</v>
      </c>
      <c r="P33" s="203">
        <v>0</v>
      </c>
      <c r="Q33" s="203">
        <v>0</v>
      </c>
      <c r="R33" s="204">
        <f t="shared" si="9"/>
        <v>-122006.76016907861</v>
      </c>
    </row>
    <row r="34" spans="1:18" x14ac:dyDescent="0.2">
      <c r="A34" s="161">
        <v>3</v>
      </c>
      <c r="B34" s="196">
        <f t="shared" si="4"/>
        <v>44621</v>
      </c>
      <c r="C34" s="217">
        <f t="shared" si="10"/>
        <v>44656</v>
      </c>
      <c r="D34" s="217">
        <f t="shared" si="10"/>
        <v>44676</v>
      </c>
      <c r="E34" s="205" t="s">
        <v>22</v>
      </c>
      <c r="F34" s="161">
        <v>9</v>
      </c>
      <c r="G34" s="198">
        <v>2560</v>
      </c>
      <c r="H34" s="199">
        <f t="shared" si="5"/>
        <v>877.15</v>
      </c>
      <c r="I34" s="199">
        <f t="shared" si="1"/>
        <v>836.6</v>
      </c>
      <c r="J34" s="200">
        <f t="shared" si="2"/>
        <v>2141696</v>
      </c>
      <c r="K34" s="201">
        <f t="shared" ref="K34:K93" si="11">+$G34*H34</f>
        <v>2245504</v>
      </c>
      <c r="L34" s="202">
        <f t="shared" si="3"/>
        <v>-103808</v>
      </c>
      <c r="M34" s="203">
        <f t="shared" si="7"/>
        <v>-5668.7984692753826</v>
      </c>
      <c r="N34" s="204">
        <f t="shared" si="8"/>
        <v>-109476.79846927538</v>
      </c>
      <c r="O34" s="203">
        <v>0</v>
      </c>
      <c r="P34" s="203">
        <v>0</v>
      </c>
      <c r="Q34" s="203">
        <v>0</v>
      </c>
      <c r="R34" s="204">
        <f t="shared" si="9"/>
        <v>-109476.79846927538</v>
      </c>
    </row>
    <row r="35" spans="1:18" x14ac:dyDescent="0.2">
      <c r="A35" s="124">
        <v>4</v>
      </c>
      <c r="B35" s="196">
        <f t="shared" si="4"/>
        <v>44652</v>
      </c>
      <c r="C35" s="217">
        <f t="shared" si="10"/>
        <v>44685</v>
      </c>
      <c r="D35" s="217">
        <f t="shared" si="10"/>
        <v>44705</v>
      </c>
      <c r="E35" s="205" t="s">
        <v>22</v>
      </c>
      <c r="F35" s="161">
        <v>9</v>
      </c>
      <c r="G35" s="198">
        <v>2434</v>
      </c>
      <c r="H35" s="199">
        <f t="shared" si="5"/>
        <v>877.15</v>
      </c>
      <c r="I35" s="199">
        <f t="shared" si="1"/>
        <v>836.6</v>
      </c>
      <c r="J35" s="200">
        <f t="shared" si="2"/>
        <v>2036284.4000000001</v>
      </c>
      <c r="K35" s="201">
        <f t="shared" si="11"/>
        <v>2134983.1</v>
      </c>
      <c r="L35" s="202">
        <f t="shared" ref="L35:L57" si="12">+J35-K35</f>
        <v>-98698.699999999953</v>
      </c>
      <c r="M35" s="203">
        <f t="shared" si="7"/>
        <v>-5389.7872946157349</v>
      </c>
      <c r="N35" s="204">
        <f t="shared" si="8"/>
        <v>-104088.48729461568</v>
      </c>
      <c r="O35" s="203">
        <v>0</v>
      </c>
      <c r="P35" s="203">
        <v>0</v>
      </c>
      <c r="Q35" s="203">
        <v>0</v>
      </c>
      <c r="R35" s="204">
        <f t="shared" si="9"/>
        <v>-104088.48729461568</v>
      </c>
    </row>
    <row r="36" spans="1:18" x14ac:dyDescent="0.2">
      <c r="A36" s="161">
        <v>5</v>
      </c>
      <c r="B36" s="196">
        <f t="shared" si="4"/>
        <v>44682</v>
      </c>
      <c r="C36" s="217">
        <f t="shared" si="10"/>
        <v>44715</v>
      </c>
      <c r="D36" s="217">
        <f t="shared" si="10"/>
        <v>44735</v>
      </c>
      <c r="E36" s="54" t="s">
        <v>22</v>
      </c>
      <c r="F36" s="161">
        <v>9</v>
      </c>
      <c r="G36" s="198">
        <v>3117</v>
      </c>
      <c r="H36" s="199">
        <f t="shared" si="5"/>
        <v>877.15</v>
      </c>
      <c r="I36" s="199">
        <f t="shared" si="1"/>
        <v>836.6</v>
      </c>
      <c r="J36" s="200">
        <f t="shared" si="2"/>
        <v>2607682.2000000002</v>
      </c>
      <c r="K36" s="201">
        <f t="shared" si="11"/>
        <v>2734076.55</v>
      </c>
      <c r="L36" s="202">
        <f t="shared" si="12"/>
        <v>-126394.34999999963</v>
      </c>
      <c r="M36" s="203">
        <f t="shared" si="7"/>
        <v>-6902.20501122319</v>
      </c>
      <c r="N36" s="204">
        <f t="shared" si="8"/>
        <v>-133296.55501122281</v>
      </c>
      <c r="O36" s="203">
        <v>0</v>
      </c>
      <c r="P36" s="203">
        <v>0</v>
      </c>
      <c r="Q36" s="203">
        <v>0</v>
      </c>
      <c r="R36" s="204">
        <f t="shared" si="9"/>
        <v>-133296.55501122281</v>
      </c>
    </row>
    <row r="37" spans="1:18" x14ac:dyDescent="0.2">
      <c r="A37" s="161">
        <v>6</v>
      </c>
      <c r="B37" s="196">
        <f t="shared" si="4"/>
        <v>44713</v>
      </c>
      <c r="C37" s="217">
        <f t="shared" si="10"/>
        <v>44747</v>
      </c>
      <c r="D37" s="217">
        <f t="shared" si="10"/>
        <v>44767</v>
      </c>
      <c r="E37" s="54" t="s">
        <v>22</v>
      </c>
      <c r="F37" s="161">
        <v>9</v>
      </c>
      <c r="G37" s="198">
        <v>3536</v>
      </c>
      <c r="H37" s="199">
        <f t="shared" si="5"/>
        <v>877.15</v>
      </c>
      <c r="I37" s="199">
        <f t="shared" si="1"/>
        <v>836.6</v>
      </c>
      <c r="J37" s="200">
        <f t="shared" si="2"/>
        <v>2958217.6</v>
      </c>
      <c r="K37" s="201">
        <f t="shared" si="11"/>
        <v>3101602.4</v>
      </c>
      <c r="L37" s="206">
        <f t="shared" si="12"/>
        <v>-143384.79999999981</v>
      </c>
      <c r="M37" s="203">
        <f t="shared" si="7"/>
        <v>-7830.0278856866225</v>
      </c>
      <c r="N37" s="204">
        <f t="shared" si="8"/>
        <v>-151214.82788568645</v>
      </c>
      <c r="O37" s="203">
        <v>0</v>
      </c>
      <c r="P37" s="203">
        <v>0</v>
      </c>
      <c r="Q37" s="203">
        <v>0</v>
      </c>
      <c r="R37" s="204">
        <f t="shared" si="9"/>
        <v>-151214.82788568645</v>
      </c>
    </row>
    <row r="38" spans="1:18" x14ac:dyDescent="0.2">
      <c r="A38" s="124">
        <v>7</v>
      </c>
      <c r="B38" s="196">
        <f t="shared" si="4"/>
        <v>44743</v>
      </c>
      <c r="C38" s="217">
        <f t="shared" si="10"/>
        <v>44776</v>
      </c>
      <c r="D38" s="217">
        <f t="shared" si="10"/>
        <v>44796</v>
      </c>
      <c r="E38" s="54" t="s">
        <v>22</v>
      </c>
      <c r="F38" s="161">
        <v>9</v>
      </c>
      <c r="G38" s="198">
        <v>3696</v>
      </c>
      <c r="H38" s="199">
        <f t="shared" si="5"/>
        <v>877.15</v>
      </c>
      <c r="I38" s="199">
        <f t="shared" si="1"/>
        <v>836.6</v>
      </c>
      <c r="J38" s="200">
        <f t="shared" si="2"/>
        <v>3092073.6</v>
      </c>
      <c r="K38" s="207">
        <f t="shared" si="11"/>
        <v>3241946.4</v>
      </c>
      <c r="L38" s="206">
        <f t="shared" si="12"/>
        <v>-149872.79999999981</v>
      </c>
      <c r="M38" s="203">
        <f t="shared" si="7"/>
        <v>-8184.3277900163339</v>
      </c>
      <c r="N38" s="204">
        <f t="shared" si="8"/>
        <v>-158057.12779001615</v>
      </c>
      <c r="O38" s="203">
        <v>0</v>
      </c>
      <c r="P38" s="203">
        <v>0</v>
      </c>
      <c r="Q38" s="203">
        <v>0</v>
      </c>
      <c r="R38" s="204">
        <f t="shared" si="9"/>
        <v>-158057.12779001615</v>
      </c>
    </row>
    <row r="39" spans="1:18" x14ac:dyDescent="0.2">
      <c r="A39" s="161">
        <v>8</v>
      </c>
      <c r="B39" s="196">
        <f t="shared" si="4"/>
        <v>44774</v>
      </c>
      <c r="C39" s="217">
        <f t="shared" si="10"/>
        <v>44809</v>
      </c>
      <c r="D39" s="217">
        <f t="shared" si="10"/>
        <v>44827</v>
      </c>
      <c r="E39" s="54" t="s">
        <v>22</v>
      </c>
      <c r="F39" s="161">
        <v>9</v>
      </c>
      <c r="G39" s="198">
        <v>3632</v>
      </c>
      <c r="H39" s="199">
        <f t="shared" si="5"/>
        <v>877.15</v>
      </c>
      <c r="I39" s="199">
        <f t="shared" si="1"/>
        <v>836.6</v>
      </c>
      <c r="J39" s="200">
        <f t="shared" si="2"/>
        <v>3038531.2</v>
      </c>
      <c r="K39" s="207">
        <f t="shared" si="11"/>
        <v>3185808.8</v>
      </c>
      <c r="L39" s="206">
        <f t="shared" si="12"/>
        <v>-147277.59999999963</v>
      </c>
      <c r="M39" s="203">
        <f t="shared" si="7"/>
        <v>-8042.6078282844492</v>
      </c>
      <c r="N39" s="204">
        <f t="shared" si="8"/>
        <v>-155320.20782828407</v>
      </c>
      <c r="O39" s="203">
        <v>0</v>
      </c>
      <c r="P39" s="203">
        <v>0</v>
      </c>
      <c r="Q39" s="203">
        <v>0</v>
      </c>
      <c r="R39" s="204">
        <f t="shared" si="9"/>
        <v>-155320.20782828407</v>
      </c>
    </row>
    <row r="40" spans="1:18" x14ac:dyDescent="0.2">
      <c r="A40" s="161">
        <v>9</v>
      </c>
      <c r="B40" s="196">
        <f t="shared" si="4"/>
        <v>44805</v>
      </c>
      <c r="C40" s="217">
        <f t="shared" si="10"/>
        <v>44839</v>
      </c>
      <c r="D40" s="217">
        <f t="shared" si="10"/>
        <v>44859</v>
      </c>
      <c r="E40" s="54" t="s">
        <v>22</v>
      </c>
      <c r="F40" s="161">
        <v>9</v>
      </c>
      <c r="G40" s="198">
        <v>3337</v>
      </c>
      <c r="H40" s="199">
        <f t="shared" si="5"/>
        <v>877.15</v>
      </c>
      <c r="I40" s="199">
        <f t="shared" si="1"/>
        <v>836.6</v>
      </c>
      <c r="J40" s="200">
        <f t="shared" si="2"/>
        <v>2791734.2</v>
      </c>
      <c r="K40" s="207">
        <f t="shared" si="11"/>
        <v>2927049.55</v>
      </c>
      <c r="L40" s="206">
        <f t="shared" si="12"/>
        <v>-135315.34999999963</v>
      </c>
      <c r="M40" s="203">
        <f t="shared" si="7"/>
        <v>-7389.3673796765434</v>
      </c>
      <c r="N40" s="204">
        <f t="shared" si="8"/>
        <v>-142704.71737967618</v>
      </c>
      <c r="O40" s="203">
        <v>0</v>
      </c>
      <c r="P40" s="203">
        <v>0</v>
      </c>
      <c r="Q40" s="203">
        <v>0</v>
      </c>
      <c r="R40" s="204">
        <f t="shared" si="9"/>
        <v>-142704.71737967618</v>
      </c>
    </row>
    <row r="41" spans="1:18" x14ac:dyDescent="0.2">
      <c r="A41" s="124">
        <v>10</v>
      </c>
      <c r="B41" s="196">
        <f t="shared" si="4"/>
        <v>44835</v>
      </c>
      <c r="C41" s="217">
        <f t="shared" si="10"/>
        <v>44868</v>
      </c>
      <c r="D41" s="217">
        <f t="shared" si="10"/>
        <v>44888</v>
      </c>
      <c r="E41" s="54" t="s">
        <v>22</v>
      </c>
      <c r="F41" s="161">
        <v>9</v>
      </c>
      <c r="G41" s="198">
        <v>2496</v>
      </c>
      <c r="H41" s="199">
        <f t="shared" si="5"/>
        <v>877.15</v>
      </c>
      <c r="I41" s="199">
        <f t="shared" si="1"/>
        <v>836.6</v>
      </c>
      <c r="J41" s="200">
        <f t="shared" si="2"/>
        <v>2088153.6</v>
      </c>
      <c r="K41" s="207">
        <f t="shared" si="11"/>
        <v>2189366.4</v>
      </c>
      <c r="L41" s="206">
        <f t="shared" si="12"/>
        <v>-101212.79999999981</v>
      </c>
      <c r="M41" s="203">
        <f t="shared" si="7"/>
        <v>-5527.0785075434978</v>
      </c>
      <c r="N41" s="204">
        <f t="shared" si="8"/>
        <v>-106739.87850754331</v>
      </c>
      <c r="O41" s="203">
        <v>0</v>
      </c>
      <c r="P41" s="203">
        <v>0</v>
      </c>
      <c r="Q41" s="203">
        <v>0</v>
      </c>
      <c r="R41" s="204">
        <f t="shared" si="9"/>
        <v>-106739.87850754331</v>
      </c>
    </row>
    <row r="42" spans="1:18" x14ac:dyDescent="0.2">
      <c r="A42" s="161">
        <v>11</v>
      </c>
      <c r="B42" s="196">
        <f t="shared" si="4"/>
        <v>44866</v>
      </c>
      <c r="C42" s="217">
        <f t="shared" si="10"/>
        <v>44900</v>
      </c>
      <c r="D42" s="217">
        <f t="shared" si="10"/>
        <v>44918</v>
      </c>
      <c r="E42" s="54" t="s">
        <v>22</v>
      </c>
      <c r="F42" s="161">
        <v>9</v>
      </c>
      <c r="G42" s="198">
        <v>2518</v>
      </c>
      <c r="H42" s="199">
        <f t="shared" si="5"/>
        <v>877.15</v>
      </c>
      <c r="I42" s="199">
        <f t="shared" si="1"/>
        <v>836.6</v>
      </c>
      <c r="J42" s="200">
        <f t="shared" si="2"/>
        <v>2106558.8000000003</v>
      </c>
      <c r="K42" s="207">
        <f t="shared" si="11"/>
        <v>2208663.6999999997</v>
      </c>
      <c r="L42" s="206">
        <f t="shared" si="12"/>
        <v>-102104.89999999944</v>
      </c>
      <c r="M42" s="203">
        <f t="shared" si="7"/>
        <v>-5575.7947443888334</v>
      </c>
      <c r="N42" s="204">
        <f t="shared" si="8"/>
        <v>-107680.69474438828</v>
      </c>
      <c r="O42" s="203">
        <v>0</v>
      </c>
      <c r="P42" s="203">
        <v>0</v>
      </c>
      <c r="Q42" s="203">
        <v>0</v>
      </c>
      <c r="R42" s="204">
        <f t="shared" si="9"/>
        <v>-107680.69474438828</v>
      </c>
    </row>
    <row r="43" spans="1:18" x14ac:dyDescent="0.2">
      <c r="A43" s="161">
        <v>12</v>
      </c>
      <c r="B43" s="196">
        <f t="shared" si="4"/>
        <v>44896</v>
      </c>
      <c r="C43" s="217">
        <f t="shared" si="10"/>
        <v>44930</v>
      </c>
      <c r="D43" s="217">
        <f t="shared" si="10"/>
        <v>44950</v>
      </c>
      <c r="E43" s="54" t="s">
        <v>22</v>
      </c>
      <c r="F43" s="161">
        <v>9</v>
      </c>
      <c r="G43" s="208">
        <v>3399</v>
      </c>
      <c r="H43" s="209">
        <f t="shared" si="5"/>
        <v>877.15</v>
      </c>
      <c r="I43" s="209">
        <f t="shared" si="1"/>
        <v>836.6</v>
      </c>
      <c r="J43" s="210">
        <f t="shared" si="2"/>
        <v>2843603.4</v>
      </c>
      <c r="K43" s="211">
        <f t="shared" si="11"/>
        <v>2981432.85</v>
      </c>
      <c r="L43" s="212">
        <f t="shared" si="12"/>
        <v>-137829.45000000019</v>
      </c>
      <c r="M43" s="203">
        <f t="shared" si="7"/>
        <v>-7526.6585926043062</v>
      </c>
      <c r="N43" s="204">
        <f t="shared" si="8"/>
        <v>-145356.10859260449</v>
      </c>
      <c r="O43" s="203">
        <v>0</v>
      </c>
      <c r="P43" s="203">
        <v>0</v>
      </c>
      <c r="Q43" s="203">
        <v>0</v>
      </c>
      <c r="R43" s="204">
        <f t="shared" si="9"/>
        <v>-145356.10859260449</v>
      </c>
    </row>
    <row r="44" spans="1:18" x14ac:dyDescent="0.2">
      <c r="A44" s="124">
        <v>1</v>
      </c>
      <c r="B44" s="213">
        <f t="shared" ref="B44:B55" si="13">DATE($R$1,A44,1)</f>
        <v>44562</v>
      </c>
      <c r="C44" s="214">
        <f t="shared" ref="C44:D55" si="14">+C32</f>
        <v>44595</v>
      </c>
      <c r="D44" s="214">
        <f t="shared" si="14"/>
        <v>44615</v>
      </c>
      <c r="E44" s="215" t="s">
        <v>81</v>
      </c>
      <c r="F44" s="216">
        <v>9</v>
      </c>
      <c r="G44" s="198">
        <v>163</v>
      </c>
      <c r="H44" s="199">
        <f t="shared" si="5"/>
        <v>877.15</v>
      </c>
      <c r="I44" s="199">
        <f t="shared" si="1"/>
        <v>836.6</v>
      </c>
      <c r="J44" s="203">
        <f t="shared" ref="J44:J55" si="15">+$G44*I44</f>
        <v>136365.80000000002</v>
      </c>
      <c r="K44" s="207">
        <f t="shared" ref="K44:K55" si="16">+$G44*H44</f>
        <v>142975.44999999998</v>
      </c>
      <c r="L44" s="206">
        <f t="shared" ref="L44:L55" si="17">+J44-K44</f>
        <v>-6609.6499999999651</v>
      </c>
      <c r="M44" s="203">
        <f t="shared" si="7"/>
        <v>-360.94302753589346</v>
      </c>
      <c r="N44" s="204">
        <f t="shared" si="8"/>
        <v>-6970.5930275358587</v>
      </c>
      <c r="O44" s="203">
        <v>0</v>
      </c>
      <c r="P44" s="203">
        <v>0</v>
      </c>
      <c r="Q44" s="203">
        <v>0</v>
      </c>
      <c r="R44" s="204">
        <f t="shared" si="9"/>
        <v>-6970.5930275358587</v>
      </c>
    </row>
    <row r="45" spans="1:18" x14ac:dyDescent="0.2">
      <c r="A45" s="161">
        <v>2</v>
      </c>
      <c r="B45" s="196">
        <f t="shared" si="13"/>
        <v>44593</v>
      </c>
      <c r="C45" s="217">
        <f t="shared" si="14"/>
        <v>44623</v>
      </c>
      <c r="D45" s="217">
        <f t="shared" si="14"/>
        <v>44642</v>
      </c>
      <c r="E45" s="205" t="s">
        <v>81</v>
      </c>
      <c r="F45" s="161">
        <v>9</v>
      </c>
      <c r="G45" s="198">
        <v>155</v>
      </c>
      <c r="H45" s="199">
        <f t="shared" si="5"/>
        <v>877.15</v>
      </c>
      <c r="I45" s="199">
        <f t="shared" si="1"/>
        <v>836.6</v>
      </c>
      <c r="J45" s="203">
        <f t="shared" si="15"/>
        <v>129673</v>
      </c>
      <c r="K45" s="207">
        <f t="shared" si="16"/>
        <v>135958.25</v>
      </c>
      <c r="L45" s="206">
        <f t="shared" si="17"/>
        <v>-6285.25</v>
      </c>
      <c r="M45" s="203">
        <f t="shared" si="7"/>
        <v>-343.22803231940793</v>
      </c>
      <c r="N45" s="204">
        <f t="shared" si="8"/>
        <v>-6628.4780323194082</v>
      </c>
      <c r="O45" s="203">
        <v>0</v>
      </c>
      <c r="P45" s="203">
        <v>0</v>
      </c>
      <c r="Q45" s="203">
        <v>0</v>
      </c>
      <c r="R45" s="204">
        <f t="shared" si="9"/>
        <v>-6628.4780323194082</v>
      </c>
    </row>
    <row r="46" spans="1:18" x14ac:dyDescent="0.2">
      <c r="A46" s="161">
        <v>3</v>
      </c>
      <c r="B46" s="196">
        <f t="shared" si="13"/>
        <v>44621</v>
      </c>
      <c r="C46" s="217">
        <f t="shared" si="14"/>
        <v>44656</v>
      </c>
      <c r="D46" s="217">
        <f t="shared" si="14"/>
        <v>44676</v>
      </c>
      <c r="E46" s="205" t="s">
        <v>81</v>
      </c>
      <c r="F46" s="161">
        <v>9</v>
      </c>
      <c r="G46" s="198">
        <v>141</v>
      </c>
      <c r="H46" s="199">
        <f t="shared" si="5"/>
        <v>877.15</v>
      </c>
      <c r="I46" s="199">
        <f t="shared" si="1"/>
        <v>836.6</v>
      </c>
      <c r="J46" s="203">
        <f t="shared" si="15"/>
        <v>117960.6</v>
      </c>
      <c r="K46" s="207">
        <f t="shared" si="16"/>
        <v>123678.15</v>
      </c>
      <c r="L46" s="206">
        <f t="shared" si="17"/>
        <v>-5717.5499999999884</v>
      </c>
      <c r="M46" s="203">
        <f t="shared" si="7"/>
        <v>-312.22679069055818</v>
      </c>
      <c r="N46" s="204">
        <f t="shared" si="8"/>
        <v>-6029.7767906905465</v>
      </c>
      <c r="O46" s="203">
        <v>0</v>
      </c>
      <c r="P46" s="203">
        <v>0</v>
      </c>
      <c r="Q46" s="203">
        <v>0</v>
      </c>
      <c r="R46" s="204">
        <f t="shared" si="9"/>
        <v>-6029.7767906905465</v>
      </c>
    </row>
    <row r="47" spans="1:18" x14ac:dyDescent="0.2">
      <c r="A47" s="124">
        <v>4</v>
      </c>
      <c r="B47" s="196">
        <f t="shared" si="13"/>
        <v>44652</v>
      </c>
      <c r="C47" s="217">
        <f t="shared" si="14"/>
        <v>44685</v>
      </c>
      <c r="D47" s="217">
        <f t="shared" si="14"/>
        <v>44705</v>
      </c>
      <c r="E47" s="205" t="s">
        <v>81</v>
      </c>
      <c r="F47" s="161">
        <v>9</v>
      </c>
      <c r="G47" s="198">
        <v>92</v>
      </c>
      <c r="H47" s="199">
        <f t="shared" si="5"/>
        <v>877.15</v>
      </c>
      <c r="I47" s="199">
        <f t="shared" si="1"/>
        <v>836.6</v>
      </c>
      <c r="J47" s="203">
        <f t="shared" si="15"/>
        <v>76967.199999999997</v>
      </c>
      <c r="K47" s="207">
        <f t="shared" si="16"/>
        <v>80697.8</v>
      </c>
      <c r="L47" s="206">
        <f t="shared" si="17"/>
        <v>-3730.6000000000058</v>
      </c>
      <c r="M47" s="203">
        <f t="shared" si="7"/>
        <v>-203.72244498958406</v>
      </c>
      <c r="N47" s="204">
        <f t="shared" si="8"/>
        <v>-3934.3224449895897</v>
      </c>
      <c r="O47" s="203">
        <v>0</v>
      </c>
      <c r="P47" s="203">
        <v>0</v>
      </c>
      <c r="Q47" s="203">
        <v>0</v>
      </c>
      <c r="R47" s="204">
        <f t="shared" si="9"/>
        <v>-3934.3224449895897</v>
      </c>
    </row>
    <row r="48" spans="1:18" x14ac:dyDescent="0.2">
      <c r="A48" s="161">
        <v>5</v>
      </c>
      <c r="B48" s="196">
        <f t="shared" si="13"/>
        <v>44682</v>
      </c>
      <c r="C48" s="217">
        <f t="shared" si="14"/>
        <v>44715</v>
      </c>
      <c r="D48" s="217">
        <f t="shared" si="14"/>
        <v>44735</v>
      </c>
      <c r="E48" s="205" t="s">
        <v>81</v>
      </c>
      <c r="F48" s="161">
        <v>9</v>
      </c>
      <c r="G48" s="198">
        <v>131</v>
      </c>
      <c r="H48" s="199">
        <f t="shared" si="5"/>
        <v>877.15</v>
      </c>
      <c r="I48" s="199">
        <f t="shared" si="1"/>
        <v>836.6</v>
      </c>
      <c r="J48" s="203">
        <f t="shared" si="15"/>
        <v>109594.6</v>
      </c>
      <c r="K48" s="207">
        <f t="shared" si="16"/>
        <v>114906.65</v>
      </c>
      <c r="L48" s="206">
        <f t="shared" si="17"/>
        <v>-5312.0499999999884</v>
      </c>
      <c r="M48" s="203">
        <f t="shared" si="7"/>
        <v>-290.08304666995122</v>
      </c>
      <c r="N48" s="204">
        <f t="shared" si="8"/>
        <v>-5602.1330466699392</v>
      </c>
      <c r="O48" s="203">
        <v>0</v>
      </c>
      <c r="P48" s="203">
        <v>0</v>
      </c>
      <c r="Q48" s="203">
        <v>0</v>
      </c>
      <c r="R48" s="204">
        <f t="shared" si="9"/>
        <v>-5602.1330466699392</v>
      </c>
    </row>
    <row r="49" spans="1:18" x14ac:dyDescent="0.2">
      <c r="A49" s="161">
        <v>6</v>
      </c>
      <c r="B49" s="196">
        <f t="shared" si="13"/>
        <v>44713</v>
      </c>
      <c r="C49" s="217">
        <f t="shared" si="14"/>
        <v>44747</v>
      </c>
      <c r="D49" s="217">
        <f t="shared" si="14"/>
        <v>44767</v>
      </c>
      <c r="E49" s="205" t="s">
        <v>81</v>
      </c>
      <c r="F49" s="161">
        <v>9</v>
      </c>
      <c r="G49" s="198">
        <v>152</v>
      </c>
      <c r="H49" s="199">
        <f t="shared" si="5"/>
        <v>877.15</v>
      </c>
      <c r="I49" s="199">
        <f t="shared" si="1"/>
        <v>836.6</v>
      </c>
      <c r="J49" s="203">
        <f t="shared" si="15"/>
        <v>127163.2</v>
      </c>
      <c r="K49" s="207">
        <f t="shared" si="16"/>
        <v>133326.79999999999</v>
      </c>
      <c r="L49" s="206">
        <f t="shared" si="17"/>
        <v>-6163.5999999999913</v>
      </c>
      <c r="M49" s="203">
        <f t="shared" si="7"/>
        <v>-336.58490911322582</v>
      </c>
      <c r="N49" s="204">
        <f t="shared" si="8"/>
        <v>-6500.1849091132171</v>
      </c>
      <c r="O49" s="203">
        <v>0</v>
      </c>
      <c r="P49" s="203">
        <v>0</v>
      </c>
      <c r="Q49" s="203">
        <v>0</v>
      </c>
      <c r="R49" s="204">
        <f t="shared" si="9"/>
        <v>-6500.1849091132171</v>
      </c>
    </row>
    <row r="50" spans="1:18" x14ac:dyDescent="0.2">
      <c r="A50" s="124">
        <v>7</v>
      </c>
      <c r="B50" s="196">
        <f t="shared" si="13"/>
        <v>44743</v>
      </c>
      <c r="C50" s="217">
        <f t="shared" si="14"/>
        <v>44776</v>
      </c>
      <c r="D50" s="217">
        <f t="shared" si="14"/>
        <v>44796</v>
      </c>
      <c r="E50" s="205" t="s">
        <v>81</v>
      </c>
      <c r="F50" s="161">
        <v>9</v>
      </c>
      <c r="G50" s="198">
        <v>149</v>
      </c>
      <c r="H50" s="199">
        <f t="shared" si="5"/>
        <v>877.15</v>
      </c>
      <c r="I50" s="199">
        <f t="shared" si="1"/>
        <v>836.6</v>
      </c>
      <c r="J50" s="203">
        <f t="shared" si="15"/>
        <v>124653.40000000001</v>
      </c>
      <c r="K50" s="207">
        <f t="shared" si="16"/>
        <v>130695.34999999999</v>
      </c>
      <c r="L50" s="206">
        <f t="shared" si="17"/>
        <v>-6041.9499999999825</v>
      </c>
      <c r="M50" s="203">
        <f t="shared" si="7"/>
        <v>-329.94178590704377</v>
      </c>
      <c r="N50" s="204">
        <f t="shared" si="8"/>
        <v>-6371.8917859070261</v>
      </c>
      <c r="O50" s="203">
        <v>0</v>
      </c>
      <c r="P50" s="203">
        <v>0</v>
      </c>
      <c r="Q50" s="203">
        <v>0</v>
      </c>
      <c r="R50" s="204">
        <f t="shared" si="9"/>
        <v>-6371.8917859070261</v>
      </c>
    </row>
    <row r="51" spans="1:18" x14ac:dyDescent="0.2">
      <c r="A51" s="161">
        <v>8</v>
      </c>
      <c r="B51" s="196">
        <f t="shared" si="13"/>
        <v>44774</v>
      </c>
      <c r="C51" s="217">
        <f t="shared" si="14"/>
        <v>44809</v>
      </c>
      <c r="D51" s="217">
        <f t="shared" si="14"/>
        <v>44827</v>
      </c>
      <c r="E51" s="205" t="s">
        <v>81</v>
      </c>
      <c r="F51" s="161">
        <v>9</v>
      </c>
      <c r="G51" s="198">
        <v>137</v>
      </c>
      <c r="H51" s="199">
        <f t="shared" si="5"/>
        <v>877.15</v>
      </c>
      <c r="I51" s="199">
        <f t="shared" si="1"/>
        <v>836.6</v>
      </c>
      <c r="J51" s="203">
        <f t="shared" si="15"/>
        <v>114614.2</v>
      </c>
      <c r="K51" s="207">
        <f t="shared" si="16"/>
        <v>120169.55</v>
      </c>
      <c r="L51" s="206">
        <f t="shared" si="17"/>
        <v>-5555.3500000000058</v>
      </c>
      <c r="M51" s="203">
        <f t="shared" si="7"/>
        <v>-303.36929308231538</v>
      </c>
      <c r="N51" s="204">
        <f t="shared" si="8"/>
        <v>-5858.7192930823212</v>
      </c>
      <c r="O51" s="203">
        <v>0</v>
      </c>
      <c r="P51" s="203">
        <v>0</v>
      </c>
      <c r="Q51" s="203">
        <v>0</v>
      </c>
      <c r="R51" s="204">
        <f t="shared" si="9"/>
        <v>-5858.7192930823212</v>
      </c>
    </row>
    <row r="52" spans="1:18" x14ac:dyDescent="0.2">
      <c r="A52" s="161">
        <v>9</v>
      </c>
      <c r="B52" s="196">
        <f t="shared" si="13"/>
        <v>44805</v>
      </c>
      <c r="C52" s="217">
        <f t="shared" si="14"/>
        <v>44839</v>
      </c>
      <c r="D52" s="217">
        <f t="shared" si="14"/>
        <v>44859</v>
      </c>
      <c r="E52" s="205" t="s">
        <v>81</v>
      </c>
      <c r="F52" s="161">
        <v>9</v>
      </c>
      <c r="G52" s="198">
        <v>136</v>
      </c>
      <c r="H52" s="199">
        <f t="shared" si="5"/>
        <v>877.15</v>
      </c>
      <c r="I52" s="199">
        <f t="shared" si="1"/>
        <v>836.6</v>
      </c>
      <c r="J52" s="203">
        <f t="shared" si="15"/>
        <v>113777.60000000001</v>
      </c>
      <c r="K52" s="207">
        <f t="shared" si="16"/>
        <v>119292.4</v>
      </c>
      <c r="L52" s="206">
        <f t="shared" si="17"/>
        <v>-5514.7999999999884</v>
      </c>
      <c r="M52" s="203">
        <f t="shared" si="7"/>
        <v>-301.1549186802547</v>
      </c>
      <c r="N52" s="204">
        <f t="shared" si="8"/>
        <v>-5815.9549186802433</v>
      </c>
      <c r="O52" s="203">
        <v>0</v>
      </c>
      <c r="P52" s="203">
        <v>0</v>
      </c>
      <c r="Q52" s="203">
        <v>0</v>
      </c>
      <c r="R52" s="204">
        <f t="shared" si="9"/>
        <v>-5815.9549186802433</v>
      </c>
    </row>
    <row r="53" spans="1:18" x14ac:dyDescent="0.2">
      <c r="A53" s="124">
        <v>10</v>
      </c>
      <c r="B53" s="196">
        <f t="shared" si="13"/>
        <v>44835</v>
      </c>
      <c r="C53" s="217">
        <f t="shared" si="14"/>
        <v>44868</v>
      </c>
      <c r="D53" s="217">
        <f t="shared" si="14"/>
        <v>44888</v>
      </c>
      <c r="E53" s="205" t="s">
        <v>81</v>
      </c>
      <c r="F53" s="161">
        <v>9</v>
      </c>
      <c r="G53" s="198">
        <v>91</v>
      </c>
      <c r="H53" s="199">
        <f t="shared" si="5"/>
        <v>877.15</v>
      </c>
      <c r="I53" s="199">
        <f t="shared" si="1"/>
        <v>836.6</v>
      </c>
      <c r="J53" s="203">
        <f t="shared" si="15"/>
        <v>76130.600000000006</v>
      </c>
      <c r="K53" s="207">
        <f t="shared" si="16"/>
        <v>79820.649999999994</v>
      </c>
      <c r="L53" s="206">
        <f t="shared" si="17"/>
        <v>-3690.0499999999884</v>
      </c>
      <c r="M53" s="203">
        <f t="shared" si="7"/>
        <v>-201.50807058752335</v>
      </c>
      <c r="N53" s="204">
        <f t="shared" si="8"/>
        <v>-3891.5580705875118</v>
      </c>
      <c r="O53" s="203">
        <v>0</v>
      </c>
      <c r="P53" s="203">
        <v>0</v>
      </c>
      <c r="Q53" s="203">
        <v>0</v>
      </c>
      <c r="R53" s="204">
        <f t="shared" si="9"/>
        <v>-3891.5580705875118</v>
      </c>
    </row>
    <row r="54" spans="1:18" x14ac:dyDescent="0.2">
      <c r="A54" s="161">
        <v>11</v>
      </c>
      <c r="B54" s="196">
        <f t="shared" si="13"/>
        <v>44866</v>
      </c>
      <c r="C54" s="217">
        <f t="shared" si="14"/>
        <v>44900</v>
      </c>
      <c r="D54" s="217">
        <f t="shared" si="14"/>
        <v>44918</v>
      </c>
      <c r="E54" s="205" t="s">
        <v>81</v>
      </c>
      <c r="F54" s="161">
        <v>9</v>
      </c>
      <c r="G54" s="198">
        <v>113</v>
      </c>
      <c r="H54" s="199">
        <f t="shared" si="5"/>
        <v>877.15</v>
      </c>
      <c r="I54" s="199">
        <f t="shared" si="1"/>
        <v>836.6</v>
      </c>
      <c r="J54" s="203">
        <f t="shared" si="15"/>
        <v>94535.8</v>
      </c>
      <c r="K54" s="207">
        <f t="shared" si="16"/>
        <v>99117.95</v>
      </c>
      <c r="L54" s="206">
        <f t="shared" si="17"/>
        <v>-4582.1499999999942</v>
      </c>
      <c r="M54" s="203">
        <f t="shared" si="7"/>
        <v>-250.22430743285869</v>
      </c>
      <c r="N54" s="204">
        <f t="shared" si="8"/>
        <v>-4832.3743074328531</v>
      </c>
      <c r="O54" s="203">
        <v>0</v>
      </c>
      <c r="P54" s="203">
        <v>0</v>
      </c>
      <c r="Q54" s="203">
        <v>0</v>
      </c>
      <c r="R54" s="204">
        <f t="shared" si="9"/>
        <v>-4832.3743074328531</v>
      </c>
    </row>
    <row r="55" spans="1:18" x14ac:dyDescent="0.2">
      <c r="A55" s="161">
        <v>12</v>
      </c>
      <c r="B55" s="196">
        <f t="shared" si="13"/>
        <v>44896</v>
      </c>
      <c r="C55" s="217">
        <f t="shared" si="14"/>
        <v>44930</v>
      </c>
      <c r="D55" s="217">
        <f t="shared" si="14"/>
        <v>44950</v>
      </c>
      <c r="E55" s="205" t="s">
        <v>81</v>
      </c>
      <c r="F55" s="161">
        <v>9</v>
      </c>
      <c r="G55" s="208">
        <v>210</v>
      </c>
      <c r="H55" s="209">
        <f t="shared" si="5"/>
        <v>877.15</v>
      </c>
      <c r="I55" s="209">
        <f t="shared" si="1"/>
        <v>836.6</v>
      </c>
      <c r="J55" s="210">
        <f t="shared" si="15"/>
        <v>175686</v>
      </c>
      <c r="K55" s="211">
        <f t="shared" si="16"/>
        <v>184201.5</v>
      </c>
      <c r="L55" s="212">
        <f t="shared" si="17"/>
        <v>-8515.5</v>
      </c>
      <c r="M55" s="203">
        <f t="shared" si="7"/>
        <v>-465.01862443274626</v>
      </c>
      <c r="N55" s="204">
        <f t="shared" si="8"/>
        <v>-8980.5186244327469</v>
      </c>
      <c r="O55" s="203">
        <v>0</v>
      </c>
      <c r="P55" s="203">
        <v>0</v>
      </c>
      <c r="Q55" s="203">
        <v>0</v>
      </c>
      <c r="R55" s="204">
        <f t="shared" si="9"/>
        <v>-8980.5186244327469</v>
      </c>
    </row>
    <row r="56" spans="1:18" s="218" customFormat="1" x14ac:dyDescent="0.2">
      <c r="A56" s="124">
        <v>1</v>
      </c>
      <c r="B56" s="213">
        <f t="shared" si="4"/>
        <v>44562</v>
      </c>
      <c r="C56" s="214">
        <f t="shared" ref="C56:D67" si="18">+C32</f>
        <v>44595</v>
      </c>
      <c r="D56" s="214">
        <f t="shared" si="18"/>
        <v>44615</v>
      </c>
      <c r="E56" s="215" t="s">
        <v>14</v>
      </c>
      <c r="F56" s="216">
        <v>9</v>
      </c>
      <c r="G56" s="198">
        <v>893</v>
      </c>
      <c r="H56" s="199">
        <f t="shared" si="5"/>
        <v>877.15</v>
      </c>
      <c r="I56" s="199">
        <f t="shared" si="1"/>
        <v>836.6</v>
      </c>
      <c r="J56" s="200">
        <f t="shared" si="2"/>
        <v>747083.8</v>
      </c>
      <c r="K56" s="201">
        <f t="shared" si="11"/>
        <v>783294.95</v>
      </c>
      <c r="L56" s="202">
        <f t="shared" si="12"/>
        <v>-36211.149999999907</v>
      </c>
      <c r="M56" s="203">
        <f t="shared" si="7"/>
        <v>-1977.4363410402018</v>
      </c>
      <c r="N56" s="204">
        <f t="shared" si="8"/>
        <v>-38188.586341040107</v>
      </c>
      <c r="O56" s="203">
        <v>0</v>
      </c>
      <c r="P56" s="203">
        <v>0</v>
      </c>
      <c r="Q56" s="203">
        <v>0</v>
      </c>
      <c r="R56" s="204">
        <f t="shared" si="9"/>
        <v>-38188.586341040107</v>
      </c>
    </row>
    <row r="57" spans="1:18" x14ac:dyDescent="0.2">
      <c r="A57" s="161">
        <v>2</v>
      </c>
      <c r="B57" s="196">
        <f t="shared" si="4"/>
        <v>44593</v>
      </c>
      <c r="C57" s="217">
        <f t="shared" si="18"/>
        <v>44623</v>
      </c>
      <c r="D57" s="217">
        <f t="shared" si="18"/>
        <v>44642</v>
      </c>
      <c r="E57" s="205" t="s">
        <v>14</v>
      </c>
      <c r="F57" s="161">
        <v>9</v>
      </c>
      <c r="G57" s="198">
        <v>796</v>
      </c>
      <c r="H57" s="199">
        <f t="shared" si="5"/>
        <v>877.15</v>
      </c>
      <c r="I57" s="199">
        <f t="shared" si="1"/>
        <v>836.6</v>
      </c>
      <c r="J57" s="200">
        <f t="shared" si="2"/>
        <v>665933.6</v>
      </c>
      <c r="K57" s="201">
        <f t="shared" si="11"/>
        <v>698211.4</v>
      </c>
      <c r="L57" s="202">
        <f t="shared" si="12"/>
        <v>-32277.800000000047</v>
      </c>
      <c r="M57" s="203">
        <f t="shared" si="7"/>
        <v>-1762.6420240403143</v>
      </c>
      <c r="N57" s="204">
        <f t="shared" si="8"/>
        <v>-34040.442024040363</v>
      </c>
      <c r="O57" s="203">
        <v>0</v>
      </c>
      <c r="P57" s="203">
        <v>0</v>
      </c>
      <c r="Q57" s="203">
        <v>0</v>
      </c>
      <c r="R57" s="204">
        <f t="shared" si="9"/>
        <v>-34040.442024040363</v>
      </c>
    </row>
    <row r="58" spans="1:18" x14ac:dyDescent="0.2">
      <c r="A58" s="161">
        <v>3</v>
      </c>
      <c r="B58" s="196">
        <f t="shared" si="4"/>
        <v>44621</v>
      </c>
      <c r="C58" s="217">
        <f t="shared" si="18"/>
        <v>44656</v>
      </c>
      <c r="D58" s="217">
        <f t="shared" si="18"/>
        <v>44676</v>
      </c>
      <c r="E58" s="205" t="s">
        <v>14</v>
      </c>
      <c r="F58" s="161">
        <v>9</v>
      </c>
      <c r="G58" s="198">
        <v>700</v>
      </c>
      <c r="H58" s="199">
        <f t="shared" si="5"/>
        <v>877.15</v>
      </c>
      <c r="I58" s="199">
        <f t="shared" si="1"/>
        <v>836.6</v>
      </c>
      <c r="J58" s="200">
        <f t="shared" si="2"/>
        <v>585620</v>
      </c>
      <c r="K58" s="201">
        <f t="shared" si="11"/>
        <v>614005</v>
      </c>
      <c r="L58" s="202">
        <f>+J58-K58</f>
        <v>-28385</v>
      </c>
      <c r="M58" s="203">
        <f t="shared" si="7"/>
        <v>-1550.0620814424874</v>
      </c>
      <c r="N58" s="204">
        <f t="shared" si="8"/>
        <v>-29935.062081442487</v>
      </c>
      <c r="O58" s="203">
        <v>0</v>
      </c>
      <c r="P58" s="203">
        <v>0</v>
      </c>
      <c r="Q58" s="203">
        <v>0</v>
      </c>
      <c r="R58" s="204">
        <f t="shared" si="9"/>
        <v>-29935.062081442487</v>
      </c>
    </row>
    <row r="59" spans="1:18" x14ac:dyDescent="0.2">
      <c r="A59" s="124">
        <v>4</v>
      </c>
      <c r="B59" s="196">
        <f t="shared" si="4"/>
        <v>44652</v>
      </c>
      <c r="C59" s="217">
        <f t="shared" si="18"/>
        <v>44685</v>
      </c>
      <c r="D59" s="217">
        <f t="shared" si="18"/>
        <v>44705</v>
      </c>
      <c r="E59" s="205" t="s">
        <v>14</v>
      </c>
      <c r="F59" s="161">
        <v>9</v>
      </c>
      <c r="G59" s="198">
        <v>549</v>
      </c>
      <c r="H59" s="199">
        <f t="shared" si="5"/>
        <v>877.15</v>
      </c>
      <c r="I59" s="199">
        <f t="shared" si="1"/>
        <v>836.6</v>
      </c>
      <c r="J59" s="200">
        <f t="shared" si="2"/>
        <v>459293.4</v>
      </c>
      <c r="K59" s="201">
        <f t="shared" si="11"/>
        <v>481555.35</v>
      </c>
      <c r="L59" s="202">
        <f t="shared" ref="L59:L81" si="19">+J59-K59</f>
        <v>-22261.949999999953</v>
      </c>
      <c r="M59" s="203">
        <f t="shared" si="7"/>
        <v>-1215.6915467313222</v>
      </c>
      <c r="N59" s="204">
        <f t="shared" si="8"/>
        <v>-23477.641546731276</v>
      </c>
      <c r="O59" s="203">
        <v>0</v>
      </c>
      <c r="P59" s="203">
        <v>0</v>
      </c>
      <c r="Q59" s="203">
        <v>0</v>
      </c>
      <c r="R59" s="204">
        <f t="shared" si="9"/>
        <v>-23477.641546731276</v>
      </c>
    </row>
    <row r="60" spans="1:18" x14ac:dyDescent="0.2">
      <c r="A60" s="161">
        <v>5</v>
      </c>
      <c r="B60" s="196">
        <f t="shared" si="4"/>
        <v>44682</v>
      </c>
      <c r="C60" s="217">
        <f t="shared" si="18"/>
        <v>44715</v>
      </c>
      <c r="D60" s="217">
        <f t="shared" si="18"/>
        <v>44735</v>
      </c>
      <c r="E60" s="54" t="s">
        <v>14</v>
      </c>
      <c r="F60" s="161">
        <v>9</v>
      </c>
      <c r="G60" s="198">
        <v>753</v>
      </c>
      <c r="H60" s="199">
        <f t="shared" si="5"/>
        <v>877.15</v>
      </c>
      <c r="I60" s="199">
        <f t="shared" si="1"/>
        <v>836.6</v>
      </c>
      <c r="J60" s="200">
        <f t="shared" si="2"/>
        <v>629959.80000000005</v>
      </c>
      <c r="K60" s="201">
        <f t="shared" si="11"/>
        <v>660493.94999999995</v>
      </c>
      <c r="L60" s="202">
        <f t="shared" si="19"/>
        <v>-30534.149999999907</v>
      </c>
      <c r="M60" s="203">
        <f t="shared" si="7"/>
        <v>-1667.4239247517044</v>
      </c>
      <c r="N60" s="204">
        <f t="shared" si="8"/>
        <v>-32201.57392475161</v>
      </c>
      <c r="O60" s="203">
        <v>0</v>
      </c>
      <c r="P60" s="203">
        <v>0</v>
      </c>
      <c r="Q60" s="203">
        <v>0</v>
      </c>
      <c r="R60" s="204">
        <f t="shared" si="9"/>
        <v>-32201.57392475161</v>
      </c>
    </row>
    <row r="61" spans="1:18" x14ac:dyDescent="0.2">
      <c r="A61" s="161">
        <v>6</v>
      </c>
      <c r="B61" s="196">
        <f t="shared" si="4"/>
        <v>44713</v>
      </c>
      <c r="C61" s="217">
        <f t="shared" si="18"/>
        <v>44747</v>
      </c>
      <c r="D61" s="217">
        <f t="shared" si="18"/>
        <v>44767</v>
      </c>
      <c r="E61" s="54" t="s">
        <v>14</v>
      </c>
      <c r="F61" s="161">
        <v>9</v>
      </c>
      <c r="G61" s="198">
        <v>942</v>
      </c>
      <c r="H61" s="199">
        <f t="shared" si="5"/>
        <v>877.15</v>
      </c>
      <c r="I61" s="199">
        <f t="shared" si="1"/>
        <v>836.6</v>
      </c>
      <c r="J61" s="200">
        <f t="shared" si="2"/>
        <v>788077.20000000007</v>
      </c>
      <c r="K61" s="201">
        <f t="shared" si="11"/>
        <v>826275.29999999993</v>
      </c>
      <c r="L61" s="206">
        <f t="shared" si="19"/>
        <v>-38198.09999999986</v>
      </c>
      <c r="M61" s="203">
        <f t="shared" si="7"/>
        <v>-2085.9406867411763</v>
      </c>
      <c r="N61" s="204">
        <f t="shared" si="8"/>
        <v>-40284.040686741035</v>
      </c>
      <c r="O61" s="203">
        <v>0</v>
      </c>
      <c r="P61" s="203">
        <v>0</v>
      </c>
      <c r="Q61" s="203">
        <v>0</v>
      </c>
      <c r="R61" s="204">
        <f t="shared" si="9"/>
        <v>-40284.040686741035</v>
      </c>
    </row>
    <row r="62" spans="1:18" x14ac:dyDescent="0.2">
      <c r="A62" s="124">
        <v>7</v>
      </c>
      <c r="B62" s="196">
        <f t="shared" si="4"/>
        <v>44743</v>
      </c>
      <c r="C62" s="217">
        <f t="shared" si="18"/>
        <v>44776</v>
      </c>
      <c r="D62" s="217">
        <f t="shared" si="18"/>
        <v>44796</v>
      </c>
      <c r="E62" s="54" t="s">
        <v>14</v>
      </c>
      <c r="F62" s="161">
        <v>9</v>
      </c>
      <c r="G62" s="198">
        <v>1036</v>
      </c>
      <c r="H62" s="199">
        <f t="shared" si="5"/>
        <v>877.15</v>
      </c>
      <c r="I62" s="199">
        <f t="shared" si="1"/>
        <v>836.6</v>
      </c>
      <c r="J62" s="200">
        <f t="shared" si="2"/>
        <v>866717.6</v>
      </c>
      <c r="K62" s="207">
        <f t="shared" si="11"/>
        <v>908727.4</v>
      </c>
      <c r="L62" s="206">
        <f t="shared" si="19"/>
        <v>-42009.800000000047</v>
      </c>
      <c r="M62" s="203">
        <f t="shared" si="7"/>
        <v>-2294.0918805348815</v>
      </c>
      <c r="N62" s="204">
        <f t="shared" si="8"/>
        <v>-44303.891880534931</v>
      </c>
      <c r="O62" s="203">
        <v>0</v>
      </c>
      <c r="P62" s="203">
        <v>0</v>
      </c>
      <c r="Q62" s="203">
        <v>0</v>
      </c>
      <c r="R62" s="204">
        <f t="shared" si="9"/>
        <v>-44303.891880534931</v>
      </c>
    </row>
    <row r="63" spans="1:18" x14ac:dyDescent="0.2">
      <c r="A63" s="161">
        <v>8</v>
      </c>
      <c r="B63" s="196">
        <f t="shared" si="4"/>
        <v>44774</v>
      </c>
      <c r="C63" s="217">
        <f t="shared" si="18"/>
        <v>44809</v>
      </c>
      <c r="D63" s="217">
        <f t="shared" si="18"/>
        <v>44827</v>
      </c>
      <c r="E63" s="54" t="s">
        <v>14</v>
      </c>
      <c r="F63" s="161">
        <v>9</v>
      </c>
      <c r="G63" s="198">
        <v>954</v>
      </c>
      <c r="H63" s="199">
        <f t="shared" si="5"/>
        <v>877.15</v>
      </c>
      <c r="I63" s="199">
        <f t="shared" si="1"/>
        <v>836.6</v>
      </c>
      <c r="J63" s="200">
        <f t="shared" si="2"/>
        <v>798116.4</v>
      </c>
      <c r="K63" s="207">
        <f t="shared" si="11"/>
        <v>836801.1</v>
      </c>
      <c r="L63" s="206">
        <f t="shared" si="19"/>
        <v>-38684.699999999953</v>
      </c>
      <c r="M63" s="203">
        <f t="shared" si="7"/>
        <v>-2112.513179565904</v>
      </c>
      <c r="N63" s="204">
        <f t="shared" si="8"/>
        <v>-40797.213179565857</v>
      </c>
      <c r="O63" s="203">
        <v>0</v>
      </c>
      <c r="P63" s="203">
        <v>0</v>
      </c>
      <c r="Q63" s="203">
        <v>0</v>
      </c>
      <c r="R63" s="204">
        <f t="shared" si="9"/>
        <v>-40797.213179565857</v>
      </c>
    </row>
    <row r="64" spans="1:18" x14ac:dyDescent="0.2">
      <c r="A64" s="161">
        <v>9</v>
      </c>
      <c r="B64" s="196">
        <f t="shared" si="4"/>
        <v>44805</v>
      </c>
      <c r="C64" s="217">
        <f t="shared" si="18"/>
        <v>44839</v>
      </c>
      <c r="D64" s="217">
        <f t="shared" si="18"/>
        <v>44859</v>
      </c>
      <c r="E64" s="54" t="s">
        <v>14</v>
      </c>
      <c r="F64" s="161">
        <v>9</v>
      </c>
      <c r="G64" s="198">
        <v>860</v>
      </c>
      <c r="H64" s="199">
        <f t="shared" si="5"/>
        <v>877.15</v>
      </c>
      <c r="I64" s="199">
        <f t="shared" ref="I64:I107" si="20">$J$3</f>
        <v>836.6</v>
      </c>
      <c r="J64" s="200">
        <f t="shared" si="2"/>
        <v>719476</v>
      </c>
      <c r="K64" s="207">
        <f t="shared" si="11"/>
        <v>754349</v>
      </c>
      <c r="L64" s="206">
        <f t="shared" si="19"/>
        <v>-34873</v>
      </c>
      <c r="M64" s="203">
        <f t="shared" si="7"/>
        <v>-1904.361985772199</v>
      </c>
      <c r="N64" s="204">
        <f t="shared" si="8"/>
        <v>-36777.361985772201</v>
      </c>
      <c r="O64" s="203">
        <v>0</v>
      </c>
      <c r="P64" s="203">
        <v>0</v>
      </c>
      <c r="Q64" s="203">
        <v>0</v>
      </c>
      <c r="R64" s="204">
        <f t="shared" si="9"/>
        <v>-36777.361985772201</v>
      </c>
    </row>
    <row r="65" spans="1:18" x14ac:dyDescent="0.2">
      <c r="A65" s="124">
        <v>10</v>
      </c>
      <c r="B65" s="196">
        <f t="shared" si="4"/>
        <v>44835</v>
      </c>
      <c r="C65" s="217">
        <f t="shared" si="18"/>
        <v>44868</v>
      </c>
      <c r="D65" s="217">
        <f t="shared" si="18"/>
        <v>44888</v>
      </c>
      <c r="E65" s="54" t="s">
        <v>14</v>
      </c>
      <c r="F65" s="161">
        <v>9</v>
      </c>
      <c r="G65" s="198">
        <v>589</v>
      </c>
      <c r="H65" s="199">
        <f t="shared" si="5"/>
        <v>877.15</v>
      </c>
      <c r="I65" s="199">
        <f t="shared" si="20"/>
        <v>836.6</v>
      </c>
      <c r="J65" s="200">
        <f t="shared" si="2"/>
        <v>492757.4</v>
      </c>
      <c r="K65" s="207">
        <f t="shared" si="11"/>
        <v>516641.35</v>
      </c>
      <c r="L65" s="206">
        <f t="shared" si="19"/>
        <v>-23883.949999999953</v>
      </c>
      <c r="M65" s="203">
        <f t="shared" si="7"/>
        <v>-1304.26652281375</v>
      </c>
      <c r="N65" s="204">
        <f t="shared" si="8"/>
        <v>-25188.216522813702</v>
      </c>
      <c r="O65" s="203">
        <v>0</v>
      </c>
      <c r="P65" s="203">
        <v>0</v>
      </c>
      <c r="Q65" s="203">
        <v>0</v>
      </c>
      <c r="R65" s="204">
        <f t="shared" si="9"/>
        <v>-25188.216522813702</v>
      </c>
    </row>
    <row r="66" spans="1:18" x14ac:dyDescent="0.2">
      <c r="A66" s="161">
        <v>11</v>
      </c>
      <c r="B66" s="196">
        <f t="shared" si="4"/>
        <v>44866</v>
      </c>
      <c r="C66" s="217">
        <f t="shared" si="18"/>
        <v>44900</v>
      </c>
      <c r="D66" s="217">
        <f t="shared" si="18"/>
        <v>44918</v>
      </c>
      <c r="E66" s="54" t="s">
        <v>14</v>
      </c>
      <c r="F66" s="161">
        <v>9</v>
      </c>
      <c r="G66" s="198">
        <v>730</v>
      </c>
      <c r="H66" s="199">
        <f t="shared" si="5"/>
        <v>877.15</v>
      </c>
      <c r="I66" s="199">
        <f t="shared" si="20"/>
        <v>836.6</v>
      </c>
      <c r="J66" s="200">
        <f t="shared" si="2"/>
        <v>610718</v>
      </c>
      <c r="K66" s="207">
        <f t="shared" si="11"/>
        <v>640319.5</v>
      </c>
      <c r="L66" s="206">
        <f t="shared" si="19"/>
        <v>-29601.5</v>
      </c>
      <c r="M66" s="203">
        <f t="shared" si="7"/>
        <v>-1616.4933135043084</v>
      </c>
      <c r="N66" s="204">
        <f t="shared" si="8"/>
        <v>-31217.99331350431</v>
      </c>
      <c r="O66" s="203">
        <v>0</v>
      </c>
      <c r="P66" s="203">
        <v>0</v>
      </c>
      <c r="Q66" s="203">
        <v>0</v>
      </c>
      <c r="R66" s="204">
        <f t="shared" si="9"/>
        <v>-31217.99331350431</v>
      </c>
    </row>
    <row r="67" spans="1:18" s="221" customFormat="1" x14ac:dyDescent="0.2">
      <c r="A67" s="161">
        <v>12</v>
      </c>
      <c r="B67" s="219">
        <f t="shared" si="4"/>
        <v>44896</v>
      </c>
      <c r="C67" s="217">
        <f t="shared" si="18"/>
        <v>44930</v>
      </c>
      <c r="D67" s="217">
        <f t="shared" si="18"/>
        <v>44950</v>
      </c>
      <c r="E67" s="220" t="s">
        <v>14</v>
      </c>
      <c r="F67" s="172">
        <v>9</v>
      </c>
      <c r="G67" s="208">
        <v>1123</v>
      </c>
      <c r="H67" s="209">
        <f t="shared" si="5"/>
        <v>877.15</v>
      </c>
      <c r="I67" s="209">
        <f t="shared" si="20"/>
        <v>836.6</v>
      </c>
      <c r="J67" s="210">
        <f t="shared" si="2"/>
        <v>939501.8</v>
      </c>
      <c r="K67" s="211">
        <f t="shared" si="11"/>
        <v>985039.45</v>
      </c>
      <c r="L67" s="212">
        <f t="shared" si="19"/>
        <v>-45537.649999999907</v>
      </c>
      <c r="M67" s="203">
        <f t="shared" si="7"/>
        <v>-2486.7424535141618</v>
      </c>
      <c r="N67" s="204">
        <f t="shared" si="8"/>
        <v>-48024.392453514069</v>
      </c>
      <c r="O67" s="203">
        <v>0</v>
      </c>
      <c r="P67" s="203">
        <v>0</v>
      </c>
      <c r="Q67" s="203">
        <v>0</v>
      </c>
      <c r="R67" s="204">
        <f t="shared" si="9"/>
        <v>-48024.392453514069</v>
      </c>
    </row>
    <row r="68" spans="1:18" x14ac:dyDescent="0.2">
      <c r="A68" s="124">
        <v>1</v>
      </c>
      <c r="B68" s="196">
        <f t="shared" si="4"/>
        <v>44562</v>
      </c>
      <c r="C68" s="214">
        <f t="shared" ref="C68:D79" si="21">+C56</f>
        <v>44595</v>
      </c>
      <c r="D68" s="214">
        <f t="shared" si="21"/>
        <v>44615</v>
      </c>
      <c r="E68" s="197" t="s">
        <v>83</v>
      </c>
      <c r="F68" s="124">
        <v>9</v>
      </c>
      <c r="G68" s="198">
        <v>48</v>
      </c>
      <c r="H68" s="199">
        <f t="shared" si="5"/>
        <v>877.15</v>
      </c>
      <c r="I68" s="199">
        <f t="shared" si="20"/>
        <v>836.6</v>
      </c>
      <c r="J68" s="200">
        <f t="shared" si="2"/>
        <v>40156.800000000003</v>
      </c>
      <c r="K68" s="201">
        <f t="shared" si="11"/>
        <v>42103.199999999997</v>
      </c>
      <c r="L68" s="202">
        <f t="shared" si="19"/>
        <v>-1946.3999999999942</v>
      </c>
      <c r="M68" s="203">
        <f t="shared" si="7"/>
        <v>-106.28997129891341</v>
      </c>
      <c r="N68" s="204">
        <f t="shared" si="8"/>
        <v>-2052.6899712989075</v>
      </c>
      <c r="O68" s="203">
        <v>0</v>
      </c>
      <c r="P68" s="203">
        <v>0</v>
      </c>
      <c r="Q68" s="203">
        <v>0</v>
      </c>
      <c r="R68" s="204">
        <f t="shared" si="9"/>
        <v>-2052.6899712989075</v>
      </c>
    </row>
    <row r="69" spans="1:18" x14ac:dyDescent="0.2">
      <c r="A69" s="161">
        <v>2</v>
      </c>
      <c r="B69" s="196">
        <f t="shared" si="4"/>
        <v>44593</v>
      </c>
      <c r="C69" s="217">
        <f t="shared" si="21"/>
        <v>44623</v>
      </c>
      <c r="D69" s="217">
        <f t="shared" si="21"/>
        <v>44642</v>
      </c>
      <c r="E69" s="205" t="s">
        <v>83</v>
      </c>
      <c r="F69" s="161">
        <v>9</v>
      </c>
      <c r="G69" s="198">
        <v>45</v>
      </c>
      <c r="H69" s="199">
        <f t="shared" si="5"/>
        <v>877.15</v>
      </c>
      <c r="I69" s="199">
        <f t="shared" si="20"/>
        <v>836.6</v>
      </c>
      <c r="J69" s="200">
        <f t="shared" si="2"/>
        <v>37647</v>
      </c>
      <c r="K69" s="201">
        <f t="shared" si="11"/>
        <v>39471.75</v>
      </c>
      <c r="L69" s="202">
        <f t="shared" si="19"/>
        <v>-1824.75</v>
      </c>
      <c r="M69" s="203">
        <f t="shared" si="7"/>
        <v>-99.646848092731332</v>
      </c>
      <c r="N69" s="204">
        <f t="shared" si="8"/>
        <v>-1924.3968480927313</v>
      </c>
      <c r="O69" s="203">
        <v>0</v>
      </c>
      <c r="P69" s="203">
        <v>0</v>
      </c>
      <c r="Q69" s="203">
        <v>0</v>
      </c>
      <c r="R69" s="204">
        <f t="shared" si="9"/>
        <v>-1924.3968480927313</v>
      </c>
    </row>
    <row r="70" spans="1:18" x14ac:dyDescent="0.2">
      <c r="A70" s="161">
        <v>3</v>
      </c>
      <c r="B70" s="196">
        <f t="shared" si="4"/>
        <v>44621</v>
      </c>
      <c r="C70" s="217">
        <f t="shared" si="21"/>
        <v>44656</v>
      </c>
      <c r="D70" s="217">
        <f t="shared" si="21"/>
        <v>44676</v>
      </c>
      <c r="E70" s="205" t="s">
        <v>83</v>
      </c>
      <c r="F70" s="161">
        <v>9</v>
      </c>
      <c r="G70" s="198">
        <v>38</v>
      </c>
      <c r="H70" s="199">
        <f t="shared" si="5"/>
        <v>877.15</v>
      </c>
      <c r="I70" s="199">
        <f t="shared" si="20"/>
        <v>836.6</v>
      </c>
      <c r="J70" s="200">
        <f t="shared" si="2"/>
        <v>31790.799999999999</v>
      </c>
      <c r="K70" s="201">
        <f t="shared" si="11"/>
        <v>33331.699999999997</v>
      </c>
      <c r="L70" s="202">
        <f>+J70-K70</f>
        <v>-1540.8999999999978</v>
      </c>
      <c r="M70" s="203">
        <f t="shared" si="7"/>
        <v>-84.146227278306455</v>
      </c>
      <c r="N70" s="204">
        <f t="shared" si="8"/>
        <v>-1625.0462272783043</v>
      </c>
      <c r="O70" s="203">
        <v>0</v>
      </c>
      <c r="P70" s="203">
        <v>0</v>
      </c>
      <c r="Q70" s="203">
        <v>0</v>
      </c>
      <c r="R70" s="204">
        <f t="shared" si="9"/>
        <v>-1625.0462272783043</v>
      </c>
    </row>
    <row r="71" spans="1:18" x14ac:dyDescent="0.2">
      <c r="A71" s="124">
        <v>4</v>
      </c>
      <c r="B71" s="196">
        <f t="shared" si="4"/>
        <v>44652</v>
      </c>
      <c r="C71" s="217">
        <f t="shared" si="21"/>
        <v>44685</v>
      </c>
      <c r="D71" s="217">
        <f t="shared" si="21"/>
        <v>44705</v>
      </c>
      <c r="E71" s="205" t="s">
        <v>83</v>
      </c>
      <c r="F71" s="161">
        <v>9</v>
      </c>
      <c r="G71" s="198">
        <v>26</v>
      </c>
      <c r="H71" s="199">
        <f t="shared" si="5"/>
        <v>877.15</v>
      </c>
      <c r="I71" s="199">
        <f t="shared" si="20"/>
        <v>836.6</v>
      </c>
      <c r="J71" s="200">
        <f t="shared" si="2"/>
        <v>21751.600000000002</v>
      </c>
      <c r="K71" s="201">
        <f t="shared" si="11"/>
        <v>22805.899999999998</v>
      </c>
      <c r="L71" s="202">
        <f t="shared" ref="L71:L79" si="22">+J71-K71</f>
        <v>-1054.2999999999956</v>
      </c>
      <c r="M71" s="203">
        <f t="shared" si="7"/>
        <v>-57.573734453578098</v>
      </c>
      <c r="N71" s="204">
        <f t="shared" si="8"/>
        <v>-1111.8737344535737</v>
      </c>
      <c r="O71" s="203">
        <v>0</v>
      </c>
      <c r="P71" s="203">
        <v>0</v>
      </c>
      <c r="Q71" s="203">
        <v>0</v>
      </c>
      <c r="R71" s="204">
        <f t="shared" si="9"/>
        <v>-1111.8737344535737</v>
      </c>
    </row>
    <row r="72" spans="1:18" x14ac:dyDescent="0.2">
      <c r="A72" s="161">
        <v>5</v>
      </c>
      <c r="B72" s="196">
        <f t="shared" si="4"/>
        <v>44682</v>
      </c>
      <c r="C72" s="217">
        <f t="shared" si="21"/>
        <v>44715</v>
      </c>
      <c r="D72" s="217">
        <f t="shared" si="21"/>
        <v>44735</v>
      </c>
      <c r="E72" s="205" t="s">
        <v>83</v>
      </c>
      <c r="F72" s="161">
        <v>9</v>
      </c>
      <c r="G72" s="198">
        <v>43</v>
      </c>
      <c r="H72" s="199">
        <f t="shared" si="5"/>
        <v>877.15</v>
      </c>
      <c r="I72" s="199">
        <f t="shared" si="20"/>
        <v>836.6</v>
      </c>
      <c r="J72" s="200">
        <f t="shared" si="2"/>
        <v>35973.800000000003</v>
      </c>
      <c r="K72" s="201">
        <f t="shared" si="11"/>
        <v>37717.449999999997</v>
      </c>
      <c r="L72" s="202">
        <f t="shared" si="22"/>
        <v>-1743.6499999999942</v>
      </c>
      <c r="M72" s="203">
        <f t="shared" si="7"/>
        <v>-95.218099288609949</v>
      </c>
      <c r="N72" s="204">
        <f t="shared" si="8"/>
        <v>-1838.8680992886041</v>
      </c>
      <c r="O72" s="203">
        <v>0</v>
      </c>
      <c r="P72" s="203">
        <v>0</v>
      </c>
      <c r="Q72" s="203">
        <v>0</v>
      </c>
      <c r="R72" s="204">
        <f t="shared" si="9"/>
        <v>-1838.8680992886041</v>
      </c>
    </row>
    <row r="73" spans="1:18" x14ac:dyDescent="0.2">
      <c r="A73" s="161">
        <v>6</v>
      </c>
      <c r="B73" s="196">
        <f t="shared" si="4"/>
        <v>44713</v>
      </c>
      <c r="C73" s="217">
        <f t="shared" si="21"/>
        <v>44747</v>
      </c>
      <c r="D73" s="217">
        <f t="shared" si="21"/>
        <v>44767</v>
      </c>
      <c r="E73" s="205" t="s">
        <v>83</v>
      </c>
      <c r="F73" s="161">
        <v>9</v>
      </c>
      <c r="G73" s="198">
        <v>54</v>
      </c>
      <c r="H73" s="199">
        <f t="shared" si="5"/>
        <v>877.15</v>
      </c>
      <c r="I73" s="199">
        <f t="shared" si="20"/>
        <v>836.6</v>
      </c>
      <c r="J73" s="200">
        <f t="shared" si="2"/>
        <v>45176.4</v>
      </c>
      <c r="K73" s="201">
        <f t="shared" si="11"/>
        <v>47366.1</v>
      </c>
      <c r="L73" s="206">
        <f t="shared" si="22"/>
        <v>-2189.6999999999971</v>
      </c>
      <c r="M73" s="203">
        <f t="shared" si="7"/>
        <v>-119.57621771127761</v>
      </c>
      <c r="N73" s="204">
        <f t="shared" si="8"/>
        <v>-2309.2762177112745</v>
      </c>
      <c r="O73" s="203">
        <v>0</v>
      </c>
      <c r="P73" s="203">
        <v>0</v>
      </c>
      <c r="Q73" s="203">
        <v>0</v>
      </c>
      <c r="R73" s="204">
        <f t="shared" si="9"/>
        <v>-2309.2762177112745</v>
      </c>
    </row>
    <row r="74" spans="1:18" x14ac:dyDescent="0.2">
      <c r="A74" s="124">
        <v>7</v>
      </c>
      <c r="B74" s="196">
        <f t="shared" si="4"/>
        <v>44743</v>
      </c>
      <c r="C74" s="217">
        <f t="shared" si="21"/>
        <v>44776</v>
      </c>
      <c r="D74" s="217">
        <f t="shared" si="21"/>
        <v>44796</v>
      </c>
      <c r="E74" s="205" t="s">
        <v>83</v>
      </c>
      <c r="F74" s="161">
        <v>9</v>
      </c>
      <c r="G74" s="198">
        <v>57</v>
      </c>
      <c r="H74" s="199">
        <f t="shared" si="5"/>
        <v>877.15</v>
      </c>
      <c r="I74" s="199">
        <f t="shared" si="20"/>
        <v>836.6</v>
      </c>
      <c r="J74" s="200">
        <f t="shared" si="2"/>
        <v>47686.200000000004</v>
      </c>
      <c r="K74" s="207">
        <f t="shared" si="11"/>
        <v>49997.549999999996</v>
      </c>
      <c r="L74" s="206">
        <f t="shared" si="22"/>
        <v>-2311.3499999999913</v>
      </c>
      <c r="M74" s="203">
        <f t="shared" si="7"/>
        <v>-126.21934091745969</v>
      </c>
      <c r="N74" s="204">
        <f t="shared" si="8"/>
        <v>-2437.569340917451</v>
      </c>
      <c r="O74" s="203">
        <v>0</v>
      </c>
      <c r="P74" s="203">
        <v>0</v>
      </c>
      <c r="Q74" s="203">
        <v>0</v>
      </c>
      <c r="R74" s="204">
        <f t="shared" si="9"/>
        <v>-2437.569340917451</v>
      </c>
    </row>
    <row r="75" spans="1:18" x14ac:dyDescent="0.2">
      <c r="A75" s="161">
        <v>8</v>
      </c>
      <c r="B75" s="196">
        <f t="shared" si="4"/>
        <v>44774</v>
      </c>
      <c r="C75" s="217">
        <f t="shared" si="21"/>
        <v>44809</v>
      </c>
      <c r="D75" s="217">
        <f t="shared" si="21"/>
        <v>44827</v>
      </c>
      <c r="E75" s="205" t="s">
        <v>83</v>
      </c>
      <c r="F75" s="161">
        <v>9</v>
      </c>
      <c r="G75" s="198">
        <v>54</v>
      </c>
      <c r="H75" s="199">
        <f t="shared" si="5"/>
        <v>877.15</v>
      </c>
      <c r="I75" s="199">
        <f t="shared" si="20"/>
        <v>836.6</v>
      </c>
      <c r="J75" s="200">
        <f t="shared" si="2"/>
        <v>45176.4</v>
      </c>
      <c r="K75" s="207">
        <f t="shared" si="11"/>
        <v>47366.1</v>
      </c>
      <c r="L75" s="206">
        <f t="shared" si="22"/>
        <v>-2189.6999999999971</v>
      </c>
      <c r="M75" s="203">
        <f t="shared" si="7"/>
        <v>-119.57621771127761</v>
      </c>
      <c r="N75" s="204">
        <f t="shared" si="8"/>
        <v>-2309.2762177112745</v>
      </c>
      <c r="O75" s="203">
        <v>0</v>
      </c>
      <c r="P75" s="203">
        <v>0</v>
      </c>
      <c r="Q75" s="203">
        <v>0</v>
      </c>
      <c r="R75" s="204">
        <f t="shared" si="9"/>
        <v>-2309.2762177112745</v>
      </c>
    </row>
    <row r="76" spans="1:18" x14ac:dyDescent="0.2">
      <c r="A76" s="161">
        <v>9</v>
      </c>
      <c r="B76" s="196">
        <f t="shared" si="4"/>
        <v>44805</v>
      </c>
      <c r="C76" s="217">
        <f t="shared" si="21"/>
        <v>44839</v>
      </c>
      <c r="D76" s="217">
        <f t="shared" si="21"/>
        <v>44859</v>
      </c>
      <c r="E76" s="205" t="s">
        <v>83</v>
      </c>
      <c r="F76" s="161">
        <v>9</v>
      </c>
      <c r="G76" s="198">
        <v>53</v>
      </c>
      <c r="H76" s="199">
        <f t="shared" si="5"/>
        <v>877.15</v>
      </c>
      <c r="I76" s="199">
        <f t="shared" si="20"/>
        <v>836.6</v>
      </c>
      <c r="J76" s="200">
        <f t="shared" si="2"/>
        <v>44339.8</v>
      </c>
      <c r="K76" s="207">
        <f t="shared" si="11"/>
        <v>46488.95</v>
      </c>
      <c r="L76" s="206">
        <f t="shared" si="22"/>
        <v>-2149.1499999999942</v>
      </c>
      <c r="M76" s="203">
        <f t="shared" si="7"/>
        <v>-117.36184330921691</v>
      </c>
      <c r="N76" s="204">
        <f t="shared" si="8"/>
        <v>-2266.5118433092111</v>
      </c>
      <c r="O76" s="203">
        <v>0</v>
      </c>
      <c r="P76" s="203">
        <v>0</v>
      </c>
      <c r="Q76" s="203">
        <v>0</v>
      </c>
      <c r="R76" s="204">
        <f t="shared" si="9"/>
        <v>-2266.5118433092111</v>
      </c>
    </row>
    <row r="77" spans="1:18" x14ac:dyDescent="0.2">
      <c r="A77" s="124">
        <v>10</v>
      </c>
      <c r="B77" s="196">
        <f t="shared" si="4"/>
        <v>44835</v>
      </c>
      <c r="C77" s="217">
        <f t="shared" si="21"/>
        <v>44868</v>
      </c>
      <c r="D77" s="217">
        <f t="shared" si="21"/>
        <v>44888</v>
      </c>
      <c r="E77" s="205" t="s">
        <v>83</v>
      </c>
      <c r="F77" s="161">
        <v>9</v>
      </c>
      <c r="G77" s="198">
        <v>31</v>
      </c>
      <c r="H77" s="199">
        <f t="shared" si="5"/>
        <v>877.15</v>
      </c>
      <c r="I77" s="199">
        <f t="shared" si="20"/>
        <v>836.6</v>
      </c>
      <c r="J77" s="200">
        <f t="shared" si="2"/>
        <v>25934.600000000002</v>
      </c>
      <c r="K77" s="207">
        <f t="shared" si="11"/>
        <v>27191.649999999998</v>
      </c>
      <c r="L77" s="206">
        <f t="shared" si="22"/>
        <v>-1257.0499999999956</v>
      </c>
      <c r="M77" s="203">
        <f t="shared" si="7"/>
        <v>-68.645606463881577</v>
      </c>
      <c r="N77" s="204">
        <f t="shared" si="8"/>
        <v>-1325.6956064638773</v>
      </c>
      <c r="O77" s="203">
        <v>0</v>
      </c>
      <c r="P77" s="203">
        <v>0</v>
      </c>
      <c r="Q77" s="203">
        <v>0</v>
      </c>
      <c r="R77" s="204">
        <f t="shared" si="9"/>
        <v>-1325.6956064638773</v>
      </c>
    </row>
    <row r="78" spans="1:18" x14ac:dyDescent="0.2">
      <c r="A78" s="161">
        <v>11</v>
      </c>
      <c r="B78" s="196">
        <f t="shared" si="4"/>
        <v>44866</v>
      </c>
      <c r="C78" s="217">
        <f t="shared" si="21"/>
        <v>44900</v>
      </c>
      <c r="D78" s="217">
        <f t="shared" si="21"/>
        <v>44918</v>
      </c>
      <c r="E78" s="205" t="s">
        <v>83</v>
      </c>
      <c r="F78" s="161">
        <v>9</v>
      </c>
      <c r="G78" s="198">
        <v>38</v>
      </c>
      <c r="H78" s="199">
        <f t="shared" si="5"/>
        <v>877.15</v>
      </c>
      <c r="I78" s="199">
        <f t="shared" si="20"/>
        <v>836.6</v>
      </c>
      <c r="J78" s="200">
        <f t="shared" si="2"/>
        <v>31790.799999999999</v>
      </c>
      <c r="K78" s="207">
        <f>+$G78*H78</f>
        <v>33331.699999999997</v>
      </c>
      <c r="L78" s="206">
        <f t="shared" si="22"/>
        <v>-1540.8999999999978</v>
      </c>
      <c r="M78" s="203">
        <f t="shared" si="7"/>
        <v>-84.146227278306455</v>
      </c>
      <c r="N78" s="204">
        <f t="shared" si="8"/>
        <v>-1625.0462272783043</v>
      </c>
      <c r="O78" s="203">
        <v>0</v>
      </c>
      <c r="P78" s="203">
        <v>0</v>
      </c>
      <c r="Q78" s="203">
        <v>0</v>
      </c>
      <c r="R78" s="204">
        <f t="shared" si="9"/>
        <v>-1625.0462272783043</v>
      </c>
    </row>
    <row r="79" spans="1:18" s="221" customFormat="1" x14ac:dyDescent="0.2">
      <c r="A79" s="161">
        <v>12</v>
      </c>
      <c r="B79" s="219">
        <f t="shared" si="4"/>
        <v>44896</v>
      </c>
      <c r="C79" s="222">
        <f t="shared" si="21"/>
        <v>44930</v>
      </c>
      <c r="D79" s="222">
        <f t="shared" si="21"/>
        <v>44950</v>
      </c>
      <c r="E79" s="223" t="s">
        <v>83</v>
      </c>
      <c r="F79" s="172">
        <v>9</v>
      </c>
      <c r="G79" s="208">
        <v>58</v>
      </c>
      <c r="H79" s="209">
        <f t="shared" si="5"/>
        <v>877.15</v>
      </c>
      <c r="I79" s="209">
        <f t="shared" si="20"/>
        <v>836.6</v>
      </c>
      <c r="J79" s="210">
        <f t="shared" si="2"/>
        <v>48522.8</v>
      </c>
      <c r="K79" s="211">
        <f>+$G79*H79</f>
        <v>50874.7</v>
      </c>
      <c r="L79" s="212">
        <f t="shared" si="22"/>
        <v>-2351.8999999999942</v>
      </c>
      <c r="M79" s="203">
        <f t="shared" si="7"/>
        <v>-128.43371531952039</v>
      </c>
      <c r="N79" s="204">
        <f t="shared" si="8"/>
        <v>-2480.3337153195143</v>
      </c>
      <c r="O79" s="203">
        <v>0</v>
      </c>
      <c r="P79" s="203">
        <v>0</v>
      </c>
      <c r="Q79" s="203">
        <v>0</v>
      </c>
      <c r="R79" s="204">
        <f t="shared" si="9"/>
        <v>-2480.3337153195143</v>
      </c>
    </row>
    <row r="80" spans="1:18" s="52" customFormat="1" ht="12.75" customHeight="1" x14ac:dyDescent="0.2">
      <c r="A80" s="124">
        <v>1</v>
      </c>
      <c r="B80" s="196">
        <f t="shared" si="4"/>
        <v>44562</v>
      </c>
      <c r="C80" s="214">
        <f t="shared" ref="C80:D91" si="23">+C56</f>
        <v>44595</v>
      </c>
      <c r="D80" s="214">
        <f t="shared" si="23"/>
        <v>44615</v>
      </c>
      <c r="E80" s="197" t="s">
        <v>9</v>
      </c>
      <c r="F80" s="124">
        <v>9</v>
      </c>
      <c r="G80" s="198">
        <v>50</v>
      </c>
      <c r="H80" s="199">
        <f t="shared" si="5"/>
        <v>877.15</v>
      </c>
      <c r="I80" s="199">
        <f t="shared" si="20"/>
        <v>836.6</v>
      </c>
      <c r="J80" s="200">
        <f t="shared" si="2"/>
        <v>41830</v>
      </c>
      <c r="K80" s="201">
        <f t="shared" si="11"/>
        <v>43857.5</v>
      </c>
      <c r="L80" s="202">
        <f t="shared" si="19"/>
        <v>-2027.5</v>
      </c>
      <c r="M80" s="203">
        <f t="shared" si="7"/>
        <v>-110.71872010303481</v>
      </c>
      <c r="N80" s="204">
        <f t="shared" si="8"/>
        <v>-2138.2187201030347</v>
      </c>
      <c r="O80" s="203">
        <v>0</v>
      </c>
      <c r="P80" s="203">
        <v>0</v>
      </c>
      <c r="Q80" s="203">
        <v>0</v>
      </c>
      <c r="R80" s="204">
        <f t="shared" si="9"/>
        <v>-2138.2187201030347</v>
      </c>
    </row>
    <row r="81" spans="1:18" x14ac:dyDescent="0.2">
      <c r="A81" s="161">
        <v>2</v>
      </c>
      <c r="B81" s="196">
        <f t="shared" si="4"/>
        <v>44593</v>
      </c>
      <c r="C81" s="217">
        <f t="shared" si="23"/>
        <v>44623</v>
      </c>
      <c r="D81" s="217">
        <f t="shared" si="23"/>
        <v>44642</v>
      </c>
      <c r="E81" s="205" t="s">
        <v>9</v>
      </c>
      <c r="F81" s="161">
        <v>9</v>
      </c>
      <c r="G81" s="198">
        <v>49</v>
      </c>
      <c r="H81" s="199">
        <f t="shared" si="5"/>
        <v>877.15</v>
      </c>
      <c r="I81" s="199">
        <f t="shared" si="20"/>
        <v>836.6</v>
      </c>
      <c r="J81" s="200">
        <f t="shared" si="2"/>
        <v>40993.4</v>
      </c>
      <c r="K81" s="201">
        <f t="shared" si="11"/>
        <v>42980.35</v>
      </c>
      <c r="L81" s="202">
        <f t="shared" si="19"/>
        <v>-1986.9499999999971</v>
      </c>
      <c r="M81" s="203">
        <f t="shared" si="7"/>
        <v>-108.50434570097411</v>
      </c>
      <c r="N81" s="204">
        <f t="shared" si="8"/>
        <v>-2095.4543457009713</v>
      </c>
      <c r="O81" s="203">
        <v>0</v>
      </c>
      <c r="P81" s="203">
        <v>0</v>
      </c>
      <c r="Q81" s="203">
        <v>0</v>
      </c>
      <c r="R81" s="204">
        <f t="shared" si="9"/>
        <v>-2095.4543457009713</v>
      </c>
    </row>
    <row r="82" spans="1:18" x14ac:dyDescent="0.2">
      <c r="A82" s="161">
        <v>3</v>
      </c>
      <c r="B82" s="196">
        <f t="shared" si="4"/>
        <v>44621</v>
      </c>
      <c r="C82" s="217">
        <f t="shared" si="23"/>
        <v>44656</v>
      </c>
      <c r="D82" s="217">
        <f t="shared" si="23"/>
        <v>44676</v>
      </c>
      <c r="E82" s="205" t="s">
        <v>9</v>
      </c>
      <c r="F82" s="161">
        <v>9</v>
      </c>
      <c r="G82" s="198">
        <v>45</v>
      </c>
      <c r="H82" s="199">
        <f t="shared" si="5"/>
        <v>877.15</v>
      </c>
      <c r="I82" s="199">
        <f t="shared" si="20"/>
        <v>836.6</v>
      </c>
      <c r="J82" s="200">
        <f t="shared" si="2"/>
        <v>37647</v>
      </c>
      <c r="K82" s="201">
        <f t="shared" si="11"/>
        <v>39471.75</v>
      </c>
      <c r="L82" s="202">
        <f>+J82-K82</f>
        <v>-1824.75</v>
      </c>
      <c r="M82" s="203">
        <f t="shared" si="7"/>
        <v>-99.646848092731332</v>
      </c>
      <c r="N82" s="204">
        <f t="shared" si="8"/>
        <v>-1924.3968480927313</v>
      </c>
      <c r="O82" s="203">
        <v>0</v>
      </c>
      <c r="P82" s="203">
        <v>0</v>
      </c>
      <c r="Q82" s="203">
        <v>0</v>
      </c>
      <c r="R82" s="204">
        <f t="shared" si="9"/>
        <v>-1924.3968480927313</v>
      </c>
    </row>
    <row r="83" spans="1:18" ht="12" customHeight="1" x14ac:dyDescent="0.2">
      <c r="A83" s="124">
        <v>4</v>
      </c>
      <c r="B83" s="196">
        <f t="shared" si="4"/>
        <v>44652</v>
      </c>
      <c r="C83" s="217">
        <f t="shared" si="23"/>
        <v>44685</v>
      </c>
      <c r="D83" s="217">
        <f t="shared" si="23"/>
        <v>44705</v>
      </c>
      <c r="E83" s="54" t="s">
        <v>9</v>
      </c>
      <c r="F83" s="161">
        <v>9</v>
      </c>
      <c r="G83" s="198">
        <v>34</v>
      </c>
      <c r="H83" s="199">
        <f t="shared" si="5"/>
        <v>877.15</v>
      </c>
      <c r="I83" s="199">
        <f t="shared" si="20"/>
        <v>836.6</v>
      </c>
      <c r="J83" s="200">
        <f t="shared" si="2"/>
        <v>28444.400000000001</v>
      </c>
      <c r="K83" s="201">
        <f t="shared" si="11"/>
        <v>29823.1</v>
      </c>
      <c r="L83" s="202">
        <f t="shared" ref="L83:L93" si="24">+J83-K83</f>
        <v>-1378.6999999999971</v>
      </c>
      <c r="M83" s="203">
        <f t="shared" si="7"/>
        <v>-75.288729670063674</v>
      </c>
      <c r="N83" s="204">
        <f t="shared" si="8"/>
        <v>-1453.9887296700608</v>
      </c>
      <c r="O83" s="203">
        <v>0</v>
      </c>
      <c r="P83" s="203">
        <v>0</v>
      </c>
      <c r="Q83" s="203">
        <v>0</v>
      </c>
      <c r="R83" s="204">
        <f t="shared" si="9"/>
        <v>-1453.9887296700608</v>
      </c>
    </row>
    <row r="84" spans="1:18" ht="12" customHeight="1" x14ac:dyDescent="0.2">
      <c r="A84" s="161">
        <v>5</v>
      </c>
      <c r="B84" s="196">
        <f t="shared" si="4"/>
        <v>44682</v>
      </c>
      <c r="C84" s="217">
        <f t="shared" si="23"/>
        <v>44715</v>
      </c>
      <c r="D84" s="217">
        <f t="shared" si="23"/>
        <v>44735</v>
      </c>
      <c r="E84" s="54" t="s">
        <v>9</v>
      </c>
      <c r="F84" s="161">
        <v>9</v>
      </c>
      <c r="G84" s="198">
        <v>42</v>
      </c>
      <c r="H84" s="199">
        <f t="shared" si="5"/>
        <v>877.15</v>
      </c>
      <c r="I84" s="199">
        <f t="shared" si="20"/>
        <v>836.6</v>
      </c>
      <c r="J84" s="200">
        <f t="shared" si="2"/>
        <v>35137.200000000004</v>
      </c>
      <c r="K84" s="201">
        <f t="shared" si="11"/>
        <v>36840.299999999996</v>
      </c>
      <c r="L84" s="202">
        <f t="shared" si="24"/>
        <v>-1703.0999999999913</v>
      </c>
      <c r="M84" s="203">
        <f t="shared" si="7"/>
        <v>-93.00372488654925</v>
      </c>
      <c r="N84" s="204">
        <f t="shared" si="8"/>
        <v>-1796.1037248865405</v>
      </c>
      <c r="O84" s="203">
        <v>0</v>
      </c>
      <c r="P84" s="203">
        <v>0</v>
      </c>
      <c r="Q84" s="203">
        <v>0</v>
      </c>
      <c r="R84" s="204">
        <f t="shared" si="9"/>
        <v>-1796.1037248865405</v>
      </c>
    </row>
    <row r="85" spans="1:18" x14ac:dyDescent="0.2">
      <c r="A85" s="161">
        <v>6</v>
      </c>
      <c r="B85" s="196">
        <f t="shared" si="4"/>
        <v>44713</v>
      </c>
      <c r="C85" s="217">
        <f t="shared" si="23"/>
        <v>44747</v>
      </c>
      <c r="D85" s="217">
        <f t="shared" si="23"/>
        <v>44767</v>
      </c>
      <c r="E85" s="54" t="s">
        <v>9</v>
      </c>
      <c r="F85" s="161">
        <v>9</v>
      </c>
      <c r="G85" s="198">
        <v>49</v>
      </c>
      <c r="H85" s="199">
        <f t="shared" ref="H85:H148" si="25">+$K$3</f>
        <v>877.15</v>
      </c>
      <c r="I85" s="199">
        <f t="shared" si="20"/>
        <v>836.6</v>
      </c>
      <c r="J85" s="200">
        <f t="shared" si="2"/>
        <v>40993.4</v>
      </c>
      <c r="K85" s="201">
        <f t="shared" si="11"/>
        <v>42980.35</v>
      </c>
      <c r="L85" s="206">
        <f t="shared" si="24"/>
        <v>-1986.9499999999971</v>
      </c>
      <c r="M85" s="203">
        <f t="shared" ref="M85:M148" si="26">G85/$G$212*$M$14</f>
        <v>-108.50434570097411</v>
      </c>
      <c r="N85" s="204">
        <f t="shared" ref="N85:N148" si="27">SUM(L85:M85)</f>
        <v>-2095.4543457009713</v>
      </c>
      <c r="O85" s="203">
        <v>0</v>
      </c>
      <c r="P85" s="203">
        <v>0</v>
      </c>
      <c r="Q85" s="203">
        <v>0</v>
      </c>
      <c r="R85" s="204">
        <f t="shared" ref="R85:R148" si="28">+N85-Q85</f>
        <v>-2095.4543457009713</v>
      </c>
    </row>
    <row r="86" spans="1:18" x14ac:dyDescent="0.2">
      <c r="A86" s="124">
        <v>7</v>
      </c>
      <c r="B86" s="196">
        <f t="shared" si="4"/>
        <v>44743</v>
      </c>
      <c r="C86" s="217">
        <f t="shared" si="23"/>
        <v>44776</v>
      </c>
      <c r="D86" s="217">
        <f t="shared" si="23"/>
        <v>44796</v>
      </c>
      <c r="E86" s="54" t="s">
        <v>9</v>
      </c>
      <c r="F86" s="161">
        <v>9</v>
      </c>
      <c r="G86" s="198">
        <v>54</v>
      </c>
      <c r="H86" s="199">
        <f t="shared" si="25"/>
        <v>877.15</v>
      </c>
      <c r="I86" s="199">
        <f t="shared" si="20"/>
        <v>836.6</v>
      </c>
      <c r="J86" s="200">
        <f t="shared" si="2"/>
        <v>45176.4</v>
      </c>
      <c r="K86" s="207">
        <f t="shared" si="11"/>
        <v>47366.1</v>
      </c>
      <c r="L86" s="206">
        <f t="shared" si="24"/>
        <v>-2189.6999999999971</v>
      </c>
      <c r="M86" s="203">
        <f t="shared" si="26"/>
        <v>-119.57621771127761</v>
      </c>
      <c r="N86" s="204">
        <f t="shared" si="27"/>
        <v>-2309.2762177112745</v>
      </c>
      <c r="O86" s="203">
        <v>0</v>
      </c>
      <c r="P86" s="203">
        <v>0</v>
      </c>
      <c r="Q86" s="203">
        <v>0</v>
      </c>
      <c r="R86" s="204">
        <f t="shared" si="28"/>
        <v>-2309.2762177112745</v>
      </c>
    </row>
    <row r="87" spans="1:18" x14ac:dyDescent="0.2">
      <c r="A87" s="161">
        <v>8</v>
      </c>
      <c r="B87" s="196">
        <f t="shared" si="4"/>
        <v>44774</v>
      </c>
      <c r="C87" s="217">
        <f t="shared" si="23"/>
        <v>44809</v>
      </c>
      <c r="D87" s="217">
        <f t="shared" si="23"/>
        <v>44827</v>
      </c>
      <c r="E87" s="54" t="s">
        <v>9</v>
      </c>
      <c r="F87" s="161">
        <v>9</v>
      </c>
      <c r="G87" s="198">
        <v>47</v>
      </c>
      <c r="H87" s="199">
        <f t="shared" si="25"/>
        <v>877.15</v>
      </c>
      <c r="I87" s="199">
        <f t="shared" si="20"/>
        <v>836.6</v>
      </c>
      <c r="J87" s="200">
        <f t="shared" si="2"/>
        <v>39320.200000000004</v>
      </c>
      <c r="K87" s="207">
        <f t="shared" si="11"/>
        <v>41226.049999999996</v>
      </c>
      <c r="L87" s="206">
        <f t="shared" si="24"/>
        <v>-1905.8499999999913</v>
      </c>
      <c r="M87" s="203">
        <f t="shared" si="26"/>
        <v>-104.07559689685273</v>
      </c>
      <c r="N87" s="204">
        <f t="shared" si="27"/>
        <v>-2009.9255968968439</v>
      </c>
      <c r="O87" s="203">
        <v>0</v>
      </c>
      <c r="P87" s="203">
        <v>0</v>
      </c>
      <c r="Q87" s="203">
        <v>0</v>
      </c>
      <c r="R87" s="204">
        <f t="shared" si="28"/>
        <v>-2009.9255968968439</v>
      </c>
    </row>
    <row r="88" spans="1:18" x14ac:dyDescent="0.2">
      <c r="A88" s="161">
        <v>9</v>
      </c>
      <c r="B88" s="196">
        <f t="shared" si="4"/>
        <v>44805</v>
      </c>
      <c r="C88" s="217">
        <f t="shared" si="23"/>
        <v>44839</v>
      </c>
      <c r="D88" s="217">
        <f t="shared" si="23"/>
        <v>44859</v>
      </c>
      <c r="E88" s="54" t="s">
        <v>9</v>
      </c>
      <c r="F88" s="161">
        <v>9</v>
      </c>
      <c r="G88" s="198">
        <v>47</v>
      </c>
      <c r="H88" s="199">
        <f t="shared" si="25"/>
        <v>877.15</v>
      </c>
      <c r="I88" s="199">
        <f t="shared" si="20"/>
        <v>836.6</v>
      </c>
      <c r="J88" s="200">
        <f t="shared" si="2"/>
        <v>39320.200000000004</v>
      </c>
      <c r="K88" s="207">
        <f t="shared" si="11"/>
        <v>41226.049999999996</v>
      </c>
      <c r="L88" s="206">
        <f t="shared" si="24"/>
        <v>-1905.8499999999913</v>
      </c>
      <c r="M88" s="203">
        <f t="shared" si="26"/>
        <v>-104.07559689685273</v>
      </c>
      <c r="N88" s="204">
        <f t="shared" si="27"/>
        <v>-2009.9255968968439</v>
      </c>
      <c r="O88" s="203">
        <v>0</v>
      </c>
      <c r="P88" s="203">
        <v>0</v>
      </c>
      <c r="Q88" s="203">
        <v>0</v>
      </c>
      <c r="R88" s="204">
        <f t="shared" si="28"/>
        <v>-2009.9255968968439</v>
      </c>
    </row>
    <row r="89" spans="1:18" x14ac:dyDescent="0.2">
      <c r="A89" s="124">
        <v>10</v>
      </c>
      <c r="B89" s="196">
        <f t="shared" si="4"/>
        <v>44835</v>
      </c>
      <c r="C89" s="217">
        <f t="shared" si="23"/>
        <v>44868</v>
      </c>
      <c r="D89" s="217">
        <f t="shared" si="23"/>
        <v>44888</v>
      </c>
      <c r="E89" s="54" t="s">
        <v>9</v>
      </c>
      <c r="F89" s="161">
        <v>9</v>
      </c>
      <c r="G89" s="198">
        <v>39</v>
      </c>
      <c r="H89" s="199">
        <f t="shared" si="25"/>
        <v>877.15</v>
      </c>
      <c r="I89" s="199">
        <f t="shared" si="20"/>
        <v>836.6</v>
      </c>
      <c r="J89" s="200">
        <f t="shared" si="2"/>
        <v>32627.4</v>
      </c>
      <c r="K89" s="207">
        <f t="shared" si="11"/>
        <v>34208.85</v>
      </c>
      <c r="L89" s="206">
        <f t="shared" si="24"/>
        <v>-1581.4499999999971</v>
      </c>
      <c r="M89" s="203">
        <f t="shared" si="26"/>
        <v>-86.360601680367154</v>
      </c>
      <c r="N89" s="204">
        <f t="shared" si="27"/>
        <v>-1667.8106016803642</v>
      </c>
      <c r="O89" s="203">
        <v>0</v>
      </c>
      <c r="P89" s="203">
        <v>0</v>
      </c>
      <c r="Q89" s="203">
        <v>0</v>
      </c>
      <c r="R89" s="204">
        <f t="shared" si="28"/>
        <v>-1667.8106016803642</v>
      </c>
    </row>
    <row r="90" spans="1:18" x14ac:dyDescent="0.2">
      <c r="A90" s="161">
        <v>11</v>
      </c>
      <c r="B90" s="196">
        <f t="shared" si="4"/>
        <v>44866</v>
      </c>
      <c r="C90" s="217">
        <f t="shared" si="23"/>
        <v>44900</v>
      </c>
      <c r="D90" s="217">
        <f t="shared" si="23"/>
        <v>44918</v>
      </c>
      <c r="E90" s="54" t="s">
        <v>9</v>
      </c>
      <c r="F90" s="161">
        <v>9</v>
      </c>
      <c r="G90" s="198">
        <v>45</v>
      </c>
      <c r="H90" s="199">
        <f t="shared" si="25"/>
        <v>877.15</v>
      </c>
      <c r="I90" s="199">
        <f t="shared" si="20"/>
        <v>836.6</v>
      </c>
      <c r="J90" s="200">
        <f t="shared" si="2"/>
        <v>37647</v>
      </c>
      <c r="K90" s="207">
        <f t="shared" si="11"/>
        <v>39471.75</v>
      </c>
      <c r="L90" s="206">
        <f t="shared" si="24"/>
        <v>-1824.75</v>
      </c>
      <c r="M90" s="203">
        <f t="shared" si="26"/>
        <v>-99.646848092731332</v>
      </c>
      <c r="N90" s="204">
        <f t="shared" si="27"/>
        <v>-1924.3968480927313</v>
      </c>
      <c r="O90" s="203">
        <v>0</v>
      </c>
      <c r="P90" s="203">
        <v>0</v>
      </c>
      <c r="Q90" s="203">
        <v>0</v>
      </c>
      <c r="R90" s="204">
        <f t="shared" si="28"/>
        <v>-1924.3968480927313</v>
      </c>
    </row>
    <row r="91" spans="1:18" s="221" customFormat="1" x14ac:dyDescent="0.2">
      <c r="A91" s="161">
        <v>12</v>
      </c>
      <c r="B91" s="219">
        <f t="shared" si="4"/>
        <v>44896</v>
      </c>
      <c r="C91" s="217">
        <f t="shared" si="23"/>
        <v>44930</v>
      </c>
      <c r="D91" s="217">
        <f t="shared" si="23"/>
        <v>44950</v>
      </c>
      <c r="E91" s="220" t="s">
        <v>9</v>
      </c>
      <c r="F91" s="172">
        <v>9</v>
      </c>
      <c r="G91" s="208">
        <v>61</v>
      </c>
      <c r="H91" s="209">
        <f t="shared" si="25"/>
        <v>877.15</v>
      </c>
      <c r="I91" s="209">
        <f t="shared" si="20"/>
        <v>836.6</v>
      </c>
      <c r="J91" s="210">
        <f t="shared" si="2"/>
        <v>51032.6</v>
      </c>
      <c r="K91" s="211">
        <f t="shared" si="11"/>
        <v>53506.15</v>
      </c>
      <c r="L91" s="212">
        <f t="shared" si="24"/>
        <v>-2473.5500000000029</v>
      </c>
      <c r="M91" s="203">
        <f t="shared" si="26"/>
        <v>-135.07683852570247</v>
      </c>
      <c r="N91" s="204">
        <f t="shared" si="27"/>
        <v>-2608.6268385257054</v>
      </c>
      <c r="O91" s="203">
        <v>0</v>
      </c>
      <c r="P91" s="203">
        <v>0</v>
      </c>
      <c r="Q91" s="203">
        <v>0</v>
      </c>
      <c r="R91" s="204">
        <f t="shared" si="28"/>
        <v>-2608.6268385257054</v>
      </c>
    </row>
    <row r="92" spans="1:18" x14ac:dyDescent="0.2">
      <c r="A92" s="124">
        <v>1</v>
      </c>
      <c r="B92" s="196">
        <f t="shared" si="4"/>
        <v>44562</v>
      </c>
      <c r="C92" s="214">
        <f t="shared" ref="C92:D95" si="29">+C80</f>
        <v>44595</v>
      </c>
      <c r="D92" s="214">
        <f t="shared" si="29"/>
        <v>44615</v>
      </c>
      <c r="E92" s="197" t="s">
        <v>8</v>
      </c>
      <c r="F92" s="124">
        <v>9</v>
      </c>
      <c r="G92" s="198">
        <v>92</v>
      </c>
      <c r="H92" s="199">
        <f t="shared" si="25"/>
        <v>877.15</v>
      </c>
      <c r="I92" s="199">
        <f t="shared" si="20"/>
        <v>836.6</v>
      </c>
      <c r="J92" s="200">
        <f t="shared" si="2"/>
        <v>76967.199999999997</v>
      </c>
      <c r="K92" s="201">
        <f t="shared" si="11"/>
        <v>80697.8</v>
      </c>
      <c r="L92" s="202">
        <f t="shared" si="24"/>
        <v>-3730.6000000000058</v>
      </c>
      <c r="M92" s="203">
        <f t="shared" si="26"/>
        <v>-203.72244498958406</v>
      </c>
      <c r="N92" s="204">
        <f t="shared" si="27"/>
        <v>-3934.3224449895897</v>
      </c>
      <c r="O92" s="203">
        <v>0</v>
      </c>
      <c r="P92" s="203">
        <v>0</v>
      </c>
      <c r="Q92" s="203">
        <v>0</v>
      </c>
      <c r="R92" s="204">
        <f t="shared" si="28"/>
        <v>-3934.3224449895897</v>
      </c>
    </row>
    <row r="93" spans="1:18" x14ac:dyDescent="0.2">
      <c r="A93" s="161">
        <v>2</v>
      </c>
      <c r="B93" s="196">
        <f t="shared" si="4"/>
        <v>44593</v>
      </c>
      <c r="C93" s="217">
        <f t="shared" si="29"/>
        <v>44623</v>
      </c>
      <c r="D93" s="217">
        <f t="shared" si="29"/>
        <v>44642</v>
      </c>
      <c r="E93" s="205" t="s">
        <v>8</v>
      </c>
      <c r="F93" s="161">
        <v>9</v>
      </c>
      <c r="G93" s="198">
        <v>88</v>
      </c>
      <c r="H93" s="199">
        <f t="shared" si="25"/>
        <v>877.15</v>
      </c>
      <c r="I93" s="199">
        <f t="shared" si="20"/>
        <v>836.6</v>
      </c>
      <c r="J93" s="200">
        <f t="shared" si="2"/>
        <v>73620.800000000003</v>
      </c>
      <c r="K93" s="201">
        <f t="shared" si="11"/>
        <v>77189.2</v>
      </c>
      <c r="L93" s="202">
        <f t="shared" si="24"/>
        <v>-3568.3999999999942</v>
      </c>
      <c r="M93" s="203">
        <f t="shared" si="26"/>
        <v>-194.86494738134127</v>
      </c>
      <c r="N93" s="204">
        <f t="shared" si="27"/>
        <v>-3763.2649473813353</v>
      </c>
      <c r="O93" s="203">
        <v>0</v>
      </c>
      <c r="P93" s="203">
        <v>0</v>
      </c>
      <c r="Q93" s="203">
        <v>0</v>
      </c>
      <c r="R93" s="204">
        <f t="shared" si="28"/>
        <v>-3763.2649473813353</v>
      </c>
    </row>
    <row r="94" spans="1:18" x14ac:dyDescent="0.2">
      <c r="A94" s="161">
        <v>3</v>
      </c>
      <c r="B94" s="196">
        <f t="shared" si="4"/>
        <v>44621</v>
      </c>
      <c r="C94" s="217">
        <f t="shared" si="29"/>
        <v>44656</v>
      </c>
      <c r="D94" s="217">
        <f t="shared" si="29"/>
        <v>44676</v>
      </c>
      <c r="E94" s="205" t="s">
        <v>8</v>
      </c>
      <c r="F94" s="161">
        <v>9</v>
      </c>
      <c r="G94" s="198">
        <v>71</v>
      </c>
      <c r="H94" s="199">
        <f t="shared" si="25"/>
        <v>877.15</v>
      </c>
      <c r="I94" s="199">
        <f t="shared" si="20"/>
        <v>836.6</v>
      </c>
      <c r="J94" s="200">
        <f t="shared" si="2"/>
        <v>59398.6</v>
      </c>
      <c r="K94" s="201">
        <f t="shared" ref="K94:K133" si="30">+$G94*H94</f>
        <v>62277.65</v>
      </c>
      <c r="L94" s="202">
        <f>+J94-K94</f>
        <v>-2879.0500000000029</v>
      </c>
      <c r="M94" s="203">
        <f t="shared" si="26"/>
        <v>-157.22058254630943</v>
      </c>
      <c r="N94" s="204">
        <f t="shared" si="27"/>
        <v>-3036.2705825463122</v>
      </c>
      <c r="O94" s="203">
        <v>0</v>
      </c>
      <c r="P94" s="203">
        <v>0</v>
      </c>
      <c r="Q94" s="203">
        <v>0</v>
      </c>
      <c r="R94" s="204">
        <f t="shared" si="28"/>
        <v>-3036.2705825463122</v>
      </c>
    </row>
    <row r="95" spans="1:18" x14ac:dyDescent="0.2">
      <c r="A95" s="124">
        <v>4</v>
      </c>
      <c r="B95" s="196">
        <f t="shared" si="4"/>
        <v>44652</v>
      </c>
      <c r="C95" s="217">
        <f t="shared" si="29"/>
        <v>44685</v>
      </c>
      <c r="D95" s="217">
        <f t="shared" si="29"/>
        <v>44705</v>
      </c>
      <c r="E95" s="205" t="s">
        <v>8</v>
      </c>
      <c r="F95" s="161">
        <v>9</v>
      </c>
      <c r="G95" s="198">
        <v>76</v>
      </c>
      <c r="H95" s="199">
        <f t="shared" si="25"/>
        <v>877.15</v>
      </c>
      <c r="I95" s="199">
        <f t="shared" si="20"/>
        <v>836.6</v>
      </c>
      <c r="J95" s="200">
        <f t="shared" si="2"/>
        <v>63581.599999999999</v>
      </c>
      <c r="K95" s="201">
        <f t="shared" si="30"/>
        <v>66663.399999999994</v>
      </c>
      <c r="L95" s="202">
        <f t="shared" ref="L95:L105" si="31">+J95-K95</f>
        <v>-3081.7999999999956</v>
      </c>
      <c r="M95" s="203">
        <f t="shared" si="26"/>
        <v>-168.29245455661291</v>
      </c>
      <c r="N95" s="204">
        <f t="shared" si="27"/>
        <v>-3250.0924545566086</v>
      </c>
      <c r="O95" s="203">
        <v>0</v>
      </c>
      <c r="P95" s="203">
        <v>0</v>
      </c>
      <c r="Q95" s="203">
        <v>0</v>
      </c>
      <c r="R95" s="204">
        <f t="shared" si="28"/>
        <v>-3250.0924545566086</v>
      </c>
    </row>
    <row r="96" spans="1:18" x14ac:dyDescent="0.2">
      <c r="A96" s="161">
        <v>5</v>
      </c>
      <c r="B96" s="196">
        <f t="shared" si="4"/>
        <v>44682</v>
      </c>
      <c r="C96" s="217">
        <f t="shared" ref="C96:D116" si="32">+C84</f>
        <v>44715</v>
      </c>
      <c r="D96" s="217">
        <f t="shared" si="32"/>
        <v>44735</v>
      </c>
      <c r="E96" s="54" t="s">
        <v>8</v>
      </c>
      <c r="F96" s="161">
        <v>9</v>
      </c>
      <c r="G96" s="198">
        <v>134</v>
      </c>
      <c r="H96" s="199">
        <f t="shared" si="25"/>
        <v>877.15</v>
      </c>
      <c r="I96" s="199">
        <f t="shared" si="20"/>
        <v>836.6</v>
      </c>
      <c r="J96" s="200">
        <f t="shared" si="2"/>
        <v>112104.40000000001</v>
      </c>
      <c r="K96" s="201">
        <f t="shared" si="30"/>
        <v>117538.09999999999</v>
      </c>
      <c r="L96" s="202">
        <f t="shared" si="31"/>
        <v>-5433.6999999999825</v>
      </c>
      <c r="M96" s="203">
        <f t="shared" si="26"/>
        <v>-296.72616987613333</v>
      </c>
      <c r="N96" s="204">
        <f t="shared" si="27"/>
        <v>-5730.4261698761156</v>
      </c>
      <c r="O96" s="203">
        <v>0</v>
      </c>
      <c r="P96" s="203">
        <v>0</v>
      </c>
      <c r="Q96" s="203">
        <v>0</v>
      </c>
      <c r="R96" s="204">
        <f t="shared" si="28"/>
        <v>-5730.4261698761156</v>
      </c>
    </row>
    <row r="97" spans="1:18" x14ac:dyDescent="0.2">
      <c r="A97" s="161">
        <v>6</v>
      </c>
      <c r="B97" s="196">
        <f t="shared" si="4"/>
        <v>44713</v>
      </c>
      <c r="C97" s="217">
        <f t="shared" si="32"/>
        <v>44747</v>
      </c>
      <c r="D97" s="217">
        <f t="shared" si="32"/>
        <v>44767</v>
      </c>
      <c r="E97" s="54" t="s">
        <v>8</v>
      </c>
      <c r="F97" s="161">
        <v>9</v>
      </c>
      <c r="G97" s="198">
        <v>145</v>
      </c>
      <c r="H97" s="199">
        <f t="shared" si="25"/>
        <v>877.15</v>
      </c>
      <c r="I97" s="199">
        <f t="shared" si="20"/>
        <v>836.6</v>
      </c>
      <c r="J97" s="200">
        <f t="shared" si="2"/>
        <v>121307</v>
      </c>
      <c r="K97" s="201">
        <f t="shared" si="30"/>
        <v>127186.75</v>
      </c>
      <c r="L97" s="206">
        <f t="shared" si="31"/>
        <v>-5879.75</v>
      </c>
      <c r="M97" s="203">
        <f t="shared" si="26"/>
        <v>-321.08428829880097</v>
      </c>
      <c r="N97" s="204">
        <f t="shared" si="27"/>
        <v>-6200.8342882988009</v>
      </c>
      <c r="O97" s="203">
        <v>0</v>
      </c>
      <c r="P97" s="203">
        <v>0</v>
      </c>
      <c r="Q97" s="203">
        <v>0</v>
      </c>
      <c r="R97" s="204">
        <f t="shared" si="28"/>
        <v>-6200.8342882988009</v>
      </c>
    </row>
    <row r="98" spans="1:18" x14ac:dyDescent="0.2">
      <c r="A98" s="124">
        <v>7</v>
      </c>
      <c r="B98" s="196">
        <f t="shared" si="4"/>
        <v>44743</v>
      </c>
      <c r="C98" s="217">
        <f t="shared" si="32"/>
        <v>44776</v>
      </c>
      <c r="D98" s="217">
        <f t="shared" si="32"/>
        <v>44796</v>
      </c>
      <c r="E98" s="54" t="s">
        <v>8</v>
      </c>
      <c r="F98" s="161">
        <v>9</v>
      </c>
      <c r="G98" s="198">
        <v>161</v>
      </c>
      <c r="H98" s="199">
        <f t="shared" si="25"/>
        <v>877.15</v>
      </c>
      <c r="I98" s="199">
        <f t="shared" si="20"/>
        <v>836.6</v>
      </c>
      <c r="J98" s="200">
        <f t="shared" si="2"/>
        <v>134692.6</v>
      </c>
      <c r="K98" s="207">
        <f t="shared" si="30"/>
        <v>141221.15</v>
      </c>
      <c r="L98" s="206">
        <f t="shared" si="31"/>
        <v>-6528.5499999999884</v>
      </c>
      <c r="M98" s="203">
        <f t="shared" si="26"/>
        <v>-356.51427873177209</v>
      </c>
      <c r="N98" s="204">
        <f t="shared" si="27"/>
        <v>-6885.0642787317602</v>
      </c>
      <c r="O98" s="203">
        <v>0</v>
      </c>
      <c r="P98" s="203">
        <v>0</v>
      </c>
      <c r="Q98" s="203">
        <v>0</v>
      </c>
      <c r="R98" s="204">
        <f t="shared" si="28"/>
        <v>-6885.0642787317602</v>
      </c>
    </row>
    <row r="99" spans="1:18" x14ac:dyDescent="0.2">
      <c r="A99" s="161">
        <v>8</v>
      </c>
      <c r="B99" s="196">
        <f t="shared" si="4"/>
        <v>44774</v>
      </c>
      <c r="C99" s="217">
        <f t="shared" si="32"/>
        <v>44809</v>
      </c>
      <c r="D99" s="217">
        <f t="shared" si="32"/>
        <v>44827</v>
      </c>
      <c r="E99" s="54" t="s">
        <v>8</v>
      </c>
      <c r="F99" s="161">
        <v>9</v>
      </c>
      <c r="G99" s="198">
        <v>154</v>
      </c>
      <c r="H99" s="199">
        <f t="shared" si="25"/>
        <v>877.15</v>
      </c>
      <c r="I99" s="199">
        <f t="shared" si="20"/>
        <v>836.6</v>
      </c>
      <c r="J99" s="200">
        <f t="shared" si="2"/>
        <v>128836.40000000001</v>
      </c>
      <c r="K99" s="207">
        <f t="shared" si="30"/>
        <v>135081.1</v>
      </c>
      <c r="L99" s="206">
        <f t="shared" si="31"/>
        <v>-6244.6999999999971</v>
      </c>
      <c r="M99" s="203">
        <f t="shared" si="26"/>
        <v>-341.01365791734725</v>
      </c>
      <c r="N99" s="204">
        <f t="shared" si="27"/>
        <v>-6585.7136579173439</v>
      </c>
      <c r="O99" s="203">
        <v>0</v>
      </c>
      <c r="P99" s="203">
        <v>0</v>
      </c>
      <c r="Q99" s="203">
        <v>0</v>
      </c>
      <c r="R99" s="204">
        <f t="shared" si="28"/>
        <v>-6585.7136579173439</v>
      </c>
    </row>
    <row r="100" spans="1:18" x14ac:dyDescent="0.2">
      <c r="A100" s="161">
        <v>9</v>
      </c>
      <c r="B100" s="196">
        <f t="shared" si="4"/>
        <v>44805</v>
      </c>
      <c r="C100" s="217">
        <f t="shared" si="32"/>
        <v>44839</v>
      </c>
      <c r="D100" s="217">
        <f t="shared" si="32"/>
        <v>44859</v>
      </c>
      <c r="E100" s="54" t="s">
        <v>8</v>
      </c>
      <c r="F100" s="161">
        <v>9</v>
      </c>
      <c r="G100" s="198">
        <v>132</v>
      </c>
      <c r="H100" s="199">
        <f t="shared" si="25"/>
        <v>877.15</v>
      </c>
      <c r="I100" s="199">
        <f t="shared" si="20"/>
        <v>836.6</v>
      </c>
      <c r="J100" s="200">
        <f t="shared" si="2"/>
        <v>110431.2</v>
      </c>
      <c r="K100" s="207">
        <f t="shared" si="30"/>
        <v>115783.8</v>
      </c>
      <c r="L100" s="206">
        <f t="shared" si="31"/>
        <v>-5352.6000000000058</v>
      </c>
      <c r="M100" s="203">
        <f t="shared" si="26"/>
        <v>-292.2974210720119</v>
      </c>
      <c r="N100" s="204">
        <f t="shared" si="27"/>
        <v>-5644.897421072018</v>
      </c>
      <c r="O100" s="203">
        <v>0</v>
      </c>
      <c r="P100" s="203">
        <v>0</v>
      </c>
      <c r="Q100" s="203">
        <v>0</v>
      </c>
      <c r="R100" s="204">
        <f t="shared" si="28"/>
        <v>-5644.897421072018</v>
      </c>
    </row>
    <row r="101" spans="1:18" x14ac:dyDescent="0.2">
      <c r="A101" s="124">
        <v>10</v>
      </c>
      <c r="B101" s="196">
        <f t="shared" si="4"/>
        <v>44835</v>
      </c>
      <c r="C101" s="217">
        <f t="shared" si="32"/>
        <v>44868</v>
      </c>
      <c r="D101" s="217">
        <f t="shared" si="32"/>
        <v>44888</v>
      </c>
      <c r="E101" s="54" t="s">
        <v>8</v>
      </c>
      <c r="F101" s="161">
        <v>9</v>
      </c>
      <c r="G101" s="198">
        <v>91</v>
      </c>
      <c r="H101" s="199">
        <f t="shared" si="25"/>
        <v>877.15</v>
      </c>
      <c r="I101" s="199">
        <f t="shared" si="20"/>
        <v>836.6</v>
      </c>
      <c r="J101" s="200">
        <f t="shared" si="2"/>
        <v>76130.600000000006</v>
      </c>
      <c r="K101" s="207">
        <f t="shared" si="30"/>
        <v>79820.649999999994</v>
      </c>
      <c r="L101" s="206">
        <f t="shared" si="31"/>
        <v>-3690.0499999999884</v>
      </c>
      <c r="M101" s="203">
        <f t="shared" si="26"/>
        <v>-201.50807058752335</v>
      </c>
      <c r="N101" s="204">
        <f t="shared" si="27"/>
        <v>-3891.5580705875118</v>
      </c>
      <c r="O101" s="203">
        <v>0</v>
      </c>
      <c r="P101" s="203">
        <v>0</v>
      </c>
      <c r="Q101" s="203">
        <v>0</v>
      </c>
      <c r="R101" s="204">
        <f t="shared" si="28"/>
        <v>-3891.5580705875118</v>
      </c>
    </row>
    <row r="102" spans="1:18" x14ac:dyDescent="0.2">
      <c r="A102" s="161">
        <v>11</v>
      </c>
      <c r="B102" s="196">
        <f t="shared" si="4"/>
        <v>44866</v>
      </c>
      <c r="C102" s="217">
        <f t="shared" si="32"/>
        <v>44900</v>
      </c>
      <c r="D102" s="217">
        <f t="shared" si="32"/>
        <v>44918</v>
      </c>
      <c r="E102" s="54" t="s">
        <v>8</v>
      </c>
      <c r="F102" s="161">
        <v>9</v>
      </c>
      <c r="G102" s="198">
        <v>67</v>
      </c>
      <c r="H102" s="199">
        <f t="shared" si="25"/>
        <v>877.15</v>
      </c>
      <c r="I102" s="199">
        <f t="shared" si="20"/>
        <v>836.6</v>
      </c>
      <c r="J102" s="200">
        <f t="shared" si="2"/>
        <v>56052.200000000004</v>
      </c>
      <c r="K102" s="207">
        <f t="shared" si="30"/>
        <v>58769.049999999996</v>
      </c>
      <c r="L102" s="206">
        <f t="shared" si="31"/>
        <v>-2716.8499999999913</v>
      </c>
      <c r="M102" s="203">
        <f t="shared" si="26"/>
        <v>-148.36308493806666</v>
      </c>
      <c r="N102" s="204">
        <f t="shared" si="27"/>
        <v>-2865.2130849380578</v>
      </c>
      <c r="O102" s="203">
        <v>0</v>
      </c>
      <c r="P102" s="203">
        <v>0</v>
      </c>
      <c r="Q102" s="203">
        <v>0</v>
      </c>
      <c r="R102" s="204">
        <f t="shared" si="28"/>
        <v>-2865.2130849380578</v>
      </c>
    </row>
    <row r="103" spans="1:18" s="221" customFormat="1" x14ac:dyDescent="0.2">
      <c r="A103" s="161">
        <v>12</v>
      </c>
      <c r="B103" s="219">
        <f t="shared" si="4"/>
        <v>44896</v>
      </c>
      <c r="C103" s="217">
        <f t="shared" si="32"/>
        <v>44930</v>
      </c>
      <c r="D103" s="217">
        <f t="shared" si="32"/>
        <v>44950</v>
      </c>
      <c r="E103" s="220" t="s">
        <v>8</v>
      </c>
      <c r="F103" s="172">
        <v>9</v>
      </c>
      <c r="G103" s="208">
        <v>96</v>
      </c>
      <c r="H103" s="209">
        <f t="shared" si="25"/>
        <v>877.15</v>
      </c>
      <c r="I103" s="209">
        <f t="shared" si="20"/>
        <v>836.6</v>
      </c>
      <c r="J103" s="210">
        <f t="shared" si="2"/>
        <v>80313.600000000006</v>
      </c>
      <c r="K103" s="211">
        <f t="shared" si="30"/>
        <v>84206.399999999994</v>
      </c>
      <c r="L103" s="212">
        <f t="shared" si="31"/>
        <v>-3892.7999999999884</v>
      </c>
      <c r="M103" s="203">
        <f t="shared" si="26"/>
        <v>-212.57994259782683</v>
      </c>
      <c r="N103" s="204">
        <f t="shared" si="27"/>
        <v>-4105.379942597815</v>
      </c>
      <c r="O103" s="203">
        <v>0</v>
      </c>
      <c r="P103" s="203">
        <v>0</v>
      </c>
      <c r="Q103" s="203">
        <v>0</v>
      </c>
      <c r="R103" s="204">
        <f t="shared" si="28"/>
        <v>-4105.379942597815</v>
      </c>
    </row>
    <row r="104" spans="1:18" x14ac:dyDescent="0.2">
      <c r="A104" s="124">
        <v>1</v>
      </c>
      <c r="B104" s="196">
        <f t="shared" si="4"/>
        <v>44562</v>
      </c>
      <c r="C104" s="214">
        <f t="shared" si="32"/>
        <v>44595</v>
      </c>
      <c r="D104" s="214">
        <f t="shared" si="32"/>
        <v>44615</v>
      </c>
      <c r="E104" s="197" t="s">
        <v>19</v>
      </c>
      <c r="F104" s="124">
        <v>9</v>
      </c>
      <c r="G104" s="198">
        <v>42</v>
      </c>
      <c r="H104" s="199">
        <f t="shared" si="25"/>
        <v>877.15</v>
      </c>
      <c r="I104" s="199">
        <f t="shared" si="20"/>
        <v>836.6</v>
      </c>
      <c r="J104" s="200">
        <f t="shared" si="2"/>
        <v>35137.200000000004</v>
      </c>
      <c r="K104" s="201">
        <f t="shared" si="30"/>
        <v>36840.299999999996</v>
      </c>
      <c r="L104" s="202">
        <f t="shared" si="31"/>
        <v>-1703.0999999999913</v>
      </c>
      <c r="M104" s="203">
        <f t="shared" si="26"/>
        <v>-93.00372488654925</v>
      </c>
      <c r="N104" s="204">
        <f t="shared" si="27"/>
        <v>-1796.1037248865405</v>
      </c>
      <c r="O104" s="203">
        <v>0</v>
      </c>
      <c r="P104" s="203">
        <v>0</v>
      </c>
      <c r="Q104" s="203">
        <v>0</v>
      </c>
      <c r="R104" s="204">
        <f t="shared" si="28"/>
        <v>-1796.1037248865405</v>
      </c>
    </row>
    <row r="105" spans="1:18" x14ac:dyDescent="0.2">
      <c r="A105" s="161">
        <v>2</v>
      </c>
      <c r="B105" s="196">
        <f t="shared" si="4"/>
        <v>44593</v>
      </c>
      <c r="C105" s="217">
        <f t="shared" si="32"/>
        <v>44623</v>
      </c>
      <c r="D105" s="217">
        <f t="shared" si="32"/>
        <v>44642</v>
      </c>
      <c r="E105" s="205" t="s">
        <v>19</v>
      </c>
      <c r="F105" s="161">
        <v>9</v>
      </c>
      <c r="G105" s="198">
        <v>43</v>
      </c>
      <c r="H105" s="199">
        <f t="shared" si="25"/>
        <v>877.15</v>
      </c>
      <c r="I105" s="199">
        <f t="shared" si="20"/>
        <v>836.6</v>
      </c>
      <c r="J105" s="200">
        <f t="shared" si="2"/>
        <v>35973.800000000003</v>
      </c>
      <c r="K105" s="201">
        <f t="shared" si="30"/>
        <v>37717.449999999997</v>
      </c>
      <c r="L105" s="202">
        <f t="shared" si="31"/>
        <v>-1743.6499999999942</v>
      </c>
      <c r="M105" s="203">
        <f t="shared" si="26"/>
        <v>-95.218099288609949</v>
      </c>
      <c r="N105" s="204">
        <f t="shared" si="27"/>
        <v>-1838.8680992886041</v>
      </c>
      <c r="O105" s="203">
        <v>0</v>
      </c>
      <c r="P105" s="203">
        <v>0</v>
      </c>
      <c r="Q105" s="203">
        <v>0</v>
      </c>
      <c r="R105" s="204">
        <f t="shared" si="28"/>
        <v>-1838.8680992886041</v>
      </c>
    </row>
    <row r="106" spans="1:18" x14ac:dyDescent="0.2">
      <c r="A106" s="161">
        <v>3</v>
      </c>
      <c r="B106" s="196">
        <f t="shared" si="4"/>
        <v>44621</v>
      </c>
      <c r="C106" s="217">
        <f t="shared" si="32"/>
        <v>44656</v>
      </c>
      <c r="D106" s="217">
        <f t="shared" si="32"/>
        <v>44676</v>
      </c>
      <c r="E106" s="205" t="s">
        <v>19</v>
      </c>
      <c r="F106" s="161">
        <v>9</v>
      </c>
      <c r="G106" s="198">
        <v>42</v>
      </c>
      <c r="H106" s="199">
        <f t="shared" si="25"/>
        <v>877.15</v>
      </c>
      <c r="I106" s="199">
        <f t="shared" si="20"/>
        <v>836.6</v>
      </c>
      <c r="J106" s="200">
        <f t="shared" si="2"/>
        <v>35137.200000000004</v>
      </c>
      <c r="K106" s="201">
        <f t="shared" si="30"/>
        <v>36840.299999999996</v>
      </c>
      <c r="L106" s="202">
        <f>+J106-K106</f>
        <v>-1703.0999999999913</v>
      </c>
      <c r="M106" s="203">
        <f t="shared" si="26"/>
        <v>-93.00372488654925</v>
      </c>
      <c r="N106" s="204">
        <f t="shared" si="27"/>
        <v>-1796.1037248865405</v>
      </c>
      <c r="O106" s="203">
        <v>0</v>
      </c>
      <c r="P106" s="203">
        <v>0</v>
      </c>
      <c r="Q106" s="203">
        <v>0</v>
      </c>
      <c r="R106" s="204">
        <f t="shared" si="28"/>
        <v>-1796.1037248865405</v>
      </c>
    </row>
    <row r="107" spans="1:18" x14ac:dyDescent="0.2">
      <c r="A107" s="124">
        <v>4</v>
      </c>
      <c r="B107" s="196">
        <f t="shared" si="4"/>
        <v>44652</v>
      </c>
      <c r="C107" s="217">
        <f t="shared" si="32"/>
        <v>44685</v>
      </c>
      <c r="D107" s="217">
        <f t="shared" si="32"/>
        <v>44705</v>
      </c>
      <c r="E107" s="54" t="s">
        <v>19</v>
      </c>
      <c r="F107" s="161">
        <v>9</v>
      </c>
      <c r="G107" s="198">
        <v>52</v>
      </c>
      <c r="H107" s="199">
        <f t="shared" si="25"/>
        <v>877.15</v>
      </c>
      <c r="I107" s="199">
        <f t="shared" si="20"/>
        <v>836.6</v>
      </c>
      <c r="J107" s="200">
        <f t="shared" si="2"/>
        <v>43503.200000000004</v>
      </c>
      <c r="K107" s="201">
        <f t="shared" si="30"/>
        <v>45611.799999999996</v>
      </c>
      <c r="L107" s="202">
        <f t="shared" ref="L107:L115" si="33">+J107-K107</f>
        <v>-2108.5999999999913</v>
      </c>
      <c r="M107" s="203">
        <f t="shared" si="26"/>
        <v>-115.1474689071562</v>
      </c>
      <c r="N107" s="204">
        <f t="shared" si="27"/>
        <v>-2223.7474689071473</v>
      </c>
      <c r="O107" s="203">
        <v>0</v>
      </c>
      <c r="P107" s="203">
        <v>0</v>
      </c>
      <c r="Q107" s="203">
        <v>0</v>
      </c>
      <c r="R107" s="204">
        <f t="shared" si="28"/>
        <v>-2223.7474689071473</v>
      </c>
    </row>
    <row r="108" spans="1:18" x14ac:dyDescent="0.2">
      <c r="A108" s="161">
        <v>5</v>
      </c>
      <c r="B108" s="196">
        <f t="shared" si="4"/>
        <v>44682</v>
      </c>
      <c r="C108" s="217">
        <f t="shared" si="32"/>
        <v>44715</v>
      </c>
      <c r="D108" s="217">
        <f t="shared" si="32"/>
        <v>44735</v>
      </c>
      <c r="E108" s="54" t="s">
        <v>19</v>
      </c>
      <c r="F108" s="161">
        <v>9</v>
      </c>
      <c r="G108" s="198">
        <v>52</v>
      </c>
      <c r="H108" s="199">
        <f t="shared" si="25"/>
        <v>877.15</v>
      </c>
      <c r="I108" s="199">
        <f t="shared" ref="I108:I127" si="34">$J$3</f>
        <v>836.6</v>
      </c>
      <c r="J108" s="200">
        <f t="shared" si="2"/>
        <v>43503.200000000004</v>
      </c>
      <c r="K108" s="201">
        <f t="shared" si="30"/>
        <v>45611.799999999996</v>
      </c>
      <c r="L108" s="202">
        <f t="shared" si="33"/>
        <v>-2108.5999999999913</v>
      </c>
      <c r="M108" s="203">
        <f t="shared" si="26"/>
        <v>-115.1474689071562</v>
      </c>
      <c r="N108" s="204">
        <f t="shared" si="27"/>
        <v>-2223.7474689071473</v>
      </c>
      <c r="O108" s="203">
        <v>0</v>
      </c>
      <c r="P108" s="203">
        <v>0</v>
      </c>
      <c r="Q108" s="203">
        <v>0</v>
      </c>
      <c r="R108" s="204">
        <f t="shared" si="28"/>
        <v>-2223.7474689071473</v>
      </c>
    </row>
    <row r="109" spans="1:18" x14ac:dyDescent="0.2">
      <c r="A109" s="161">
        <v>6</v>
      </c>
      <c r="B109" s="196">
        <f t="shared" ref="B109:B148" si="35">DATE($R$1,A109,1)</f>
        <v>44713</v>
      </c>
      <c r="C109" s="217">
        <f t="shared" si="32"/>
        <v>44747</v>
      </c>
      <c r="D109" s="217">
        <f t="shared" si="32"/>
        <v>44767</v>
      </c>
      <c r="E109" s="54" t="s">
        <v>19</v>
      </c>
      <c r="F109" s="161">
        <v>9</v>
      </c>
      <c r="G109" s="198">
        <v>56</v>
      </c>
      <c r="H109" s="199">
        <f t="shared" si="25"/>
        <v>877.15</v>
      </c>
      <c r="I109" s="199">
        <f t="shared" si="34"/>
        <v>836.6</v>
      </c>
      <c r="J109" s="200">
        <f t="shared" ref="J109:J148" si="36">+$G109*I109</f>
        <v>46849.599999999999</v>
      </c>
      <c r="K109" s="201">
        <f t="shared" si="30"/>
        <v>49120.4</v>
      </c>
      <c r="L109" s="206">
        <f t="shared" si="33"/>
        <v>-2270.8000000000029</v>
      </c>
      <c r="M109" s="203">
        <f t="shared" si="26"/>
        <v>-124.00496651539898</v>
      </c>
      <c r="N109" s="204">
        <f t="shared" si="27"/>
        <v>-2394.8049665154017</v>
      </c>
      <c r="O109" s="203">
        <v>0</v>
      </c>
      <c r="P109" s="203">
        <v>0</v>
      </c>
      <c r="Q109" s="203">
        <v>0</v>
      </c>
      <c r="R109" s="204">
        <f t="shared" si="28"/>
        <v>-2394.8049665154017</v>
      </c>
    </row>
    <row r="110" spans="1:18" x14ac:dyDescent="0.2">
      <c r="A110" s="124">
        <v>7</v>
      </c>
      <c r="B110" s="196">
        <f t="shared" si="35"/>
        <v>44743</v>
      </c>
      <c r="C110" s="217">
        <f t="shared" si="32"/>
        <v>44776</v>
      </c>
      <c r="D110" s="217">
        <f t="shared" si="32"/>
        <v>44796</v>
      </c>
      <c r="E110" s="54" t="s">
        <v>19</v>
      </c>
      <c r="F110" s="161">
        <v>9</v>
      </c>
      <c r="G110" s="198">
        <v>58</v>
      </c>
      <c r="H110" s="199">
        <f t="shared" si="25"/>
        <v>877.15</v>
      </c>
      <c r="I110" s="199">
        <f t="shared" si="34"/>
        <v>836.6</v>
      </c>
      <c r="J110" s="200">
        <f t="shared" si="36"/>
        <v>48522.8</v>
      </c>
      <c r="K110" s="207">
        <f t="shared" si="30"/>
        <v>50874.7</v>
      </c>
      <c r="L110" s="206">
        <f t="shared" si="33"/>
        <v>-2351.8999999999942</v>
      </c>
      <c r="M110" s="203">
        <f t="shared" si="26"/>
        <v>-128.43371531952039</v>
      </c>
      <c r="N110" s="204">
        <f t="shared" si="27"/>
        <v>-2480.3337153195143</v>
      </c>
      <c r="O110" s="203">
        <v>0</v>
      </c>
      <c r="P110" s="203">
        <v>0</v>
      </c>
      <c r="Q110" s="203">
        <v>0</v>
      </c>
      <c r="R110" s="204">
        <f t="shared" si="28"/>
        <v>-2480.3337153195143</v>
      </c>
    </row>
    <row r="111" spans="1:18" x14ac:dyDescent="0.2">
      <c r="A111" s="161">
        <v>8</v>
      </c>
      <c r="B111" s="196">
        <f t="shared" si="35"/>
        <v>44774</v>
      </c>
      <c r="C111" s="217">
        <f t="shared" si="32"/>
        <v>44809</v>
      </c>
      <c r="D111" s="217">
        <f t="shared" si="32"/>
        <v>44827</v>
      </c>
      <c r="E111" s="54" t="s">
        <v>19</v>
      </c>
      <c r="F111" s="161">
        <v>9</v>
      </c>
      <c r="G111" s="198">
        <v>60</v>
      </c>
      <c r="H111" s="199">
        <f t="shared" si="25"/>
        <v>877.15</v>
      </c>
      <c r="I111" s="199">
        <f t="shared" si="34"/>
        <v>836.6</v>
      </c>
      <c r="J111" s="200">
        <f t="shared" si="36"/>
        <v>50196</v>
      </c>
      <c r="K111" s="207">
        <f t="shared" si="30"/>
        <v>52629</v>
      </c>
      <c r="L111" s="206">
        <f t="shared" si="33"/>
        <v>-2433</v>
      </c>
      <c r="M111" s="203">
        <f t="shared" si="26"/>
        <v>-132.86246412364176</v>
      </c>
      <c r="N111" s="204">
        <f t="shared" si="27"/>
        <v>-2565.862464123642</v>
      </c>
      <c r="O111" s="203">
        <v>0</v>
      </c>
      <c r="P111" s="203">
        <v>0</v>
      </c>
      <c r="Q111" s="203">
        <v>0</v>
      </c>
      <c r="R111" s="204">
        <f t="shared" si="28"/>
        <v>-2565.862464123642</v>
      </c>
    </row>
    <row r="112" spans="1:18" x14ac:dyDescent="0.2">
      <c r="A112" s="161">
        <v>9</v>
      </c>
      <c r="B112" s="196">
        <f t="shared" si="35"/>
        <v>44805</v>
      </c>
      <c r="C112" s="217">
        <f t="shared" si="32"/>
        <v>44839</v>
      </c>
      <c r="D112" s="217">
        <f t="shared" si="32"/>
        <v>44859</v>
      </c>
      <c r="E112" s="54" t="s">
        <v>19</v>
      </c>
      <c r="F112" s="161">
        <v>9</v>
      </c>
      <c r="G112" s="198">
        <v>58</v>
      </c>
      <c r="H112" s="199">
        <f t="shared" si="25"/>
        <v>877.15</v>
      </c>
      <c r="I112" s="199">
        <f t="shared" si="34"/>
        <v>836.6</v>
      </c>
      <c r="J112" s="200">
        <f t="shared" si="36"/>
        <v>48522.8</v>
      </c>
      <c r="K112" s="207">
        <f t="shared" si="30"/>
        <v>50874.7</v>
      </c>
      <c r="L112" s="206">
        <f t="shared" si="33"/>
        <v>-2351.8999999999942</v>
      </c>
      <c r="M112" s="203">
        <f t="shared" si="26"/>
        <v>-128.43371531952039</v>
      </c>
      <c r="N112" s="204">
        <f t="shared" si="27"/>
        <v>-2480.3337153195143</v>
      </c>
      <c r="O112" s="203">
        <v>0</v>
      </c>
      <c r="P112" s="203">
        <v>0</v>
      </c>
      <c r="Q112" s="203">
        <v>0</v>
      </c>
      <c r="R112" s="204">
        <f t="shared" si="28"/>
        <v>-2480.3337153195143</v>
      </c>
    </row>
    <row r="113" spans="1:18" x14ac:dyDescent="0.2">
      <c r="A113" s="124">
        <v>10</v>
      </c>
      <c r="B113" s="196">
        <f t="shared" si="35"/>
        <v>44835</v>
      </c>
      <c r="C113" s="217">
        <f t="shared" si="32"/>
        <v>44868</v>
      </c>
      <c r="D113" s="217">
        <f t="shared" si="32"/>
        <v>44888</v>
      </c>
      <c r="E113" s="54" t="s">
        <v>19</v>
      </c>
      <c r="F113" s="161">
        <v>9</v>
      </c>
      <c r="G113" s="198">
        <v>56</v>
      </c>
      <c r="H113" s="199">
        <f t="shared" si="25"/>
        <v>877.15</v>
      </c>
      <c r="I113" s="199">
        <f t="shared" si="34"/>
        <v>836.6</v>
      </c>
      <c r="J113" s="200">
        <f t="shared" si="36"/>
        <v>46849.599999999999</v>
      </c>
      <c r="K113" s="207">
        <f t="shared" si="30"/>
        <v>49120.4</v>
      </c>
      <c r="L113" s="206">
        <f t="shared" si="33"/>
        <v>-2270.8000000000029</v>
      </c>
      <c r="M113" s="203">
        <f t="shared" si="26"/>
        <v>-124.00496651539898</v>
      </c>
      <c r="N113" s="204">
        <f t="shared" si="27"/>
        <v>-2394.8049665154017</v>
      </c>
      <c r="O113" s="203">
        <v>0</v>
      </c>
      <c r="P113" s="203">
        <v>0</v>
      </c>
      <c r="Q113" s="203">
        <v>0</v>
      </c>
      <c r="R113" s="204">
        <f t="shared" si="28"/>
        <v>-2394.8049665154017</v>
      </c>
    </row>
    <row r="114" spans="1:18" x14ac:dyDescent="0.2">
      <c r="A114" s="161">
        <v>11</v>
      </c>
      <c r="B114" s="196">
        <f t="shared" si="35"/>
        <v>44866</v>
      </c>
      <c r="C114" s="217">
        <f t="shared" si="32"/>
        <v>44900</v>
      </c>
      <c r="D114" s="217">
        <f t="shared" si="32"/>
        <v>44918</v>
      </c>
      <c r="E114" s="54" t="s">
        <v>19</v>
      </c>
      <c r="F114" s="161">
        <v>9</v>
      </c>
      <c r="G114" s="198">
        <v>59</v>
      </c>
      <c r="H114" s="199">
        <f t="shared" si="25"/>
        <v>877.15</v>
      </c>
      <c r="I114" s="199">
        <f t="shared" si="34"/>
        <v>836.6</v>
      </c>
      <c r="J114" s="200">
        <f t="shared" si="36"/>
        <v>49359.4</v>
      </c>
      <c r="K114" s="207">
        <f t="shared" si="30"/>
        <v>51751.85</v>
      </c>
      <c r="L114" s="206">
        <f t="shared" si="33"/>
        <v>-2392.4499999999971</v>
      </c>
      <c r="M114" s="203">
        <f t="shared" si="26"/>
        <v>-130.6480897215811</v>
      </c>
      <c r="N114" s="204">
        <f t="shared" si="27"/>
        <v>-2523.0980897215782</v>
      </c>
      <c r="O114" s="203">
        <v>0</v>
      </c>
      <c r="P114" s="203">
        <v>0</v>
      </c>
      <c r="Q114" s="203">
        <v>0</v>
      </c>
      <c r="R114" s="204">
        <f t="shared" si="28"/>
        <v>-2523.0980897215782</v>
      </c>
    </row>
    <row r="115" spans="1:18" s="221" customFormat="1" x14ac:dyDescent="0.2">
      <c r="A115" s="161">
        <v>12</v>
      </c>
      <c r="B115" s="219">
        <f t="shared" si="35"/>
        <v>44896</v>
      </c>
      <c r="C115" s="222">
        <f t="shared" si="32"/>
        <v>44930</v>
      </c>
      <c r="D115" s="222">
        <f t="shared" si="32"/>
        <v>44950</v>
      </c>
      <c r="E115" s="220" t="s">
        <v>19</v>
      </c>
      <c r="F115" s="172">
        <v>9</v>
      </c>
      <c r="G115" s="208">
        <v>58</v>
      </c>
      <c r="H115" s="209">
        <f t="shared" si="25"/>
        <v>877.15</v>
      </c>
      <c r="I115" s="209">
        <f t="shared" si="34"/>
        <v>836.6</v>
      </c>
      <c r="J115" s="210">
        <f t="shared" si="36"/>
        <v>48522.8</v>
      </c>
      <c r="K115" s="211">
        <f t="shared" si="30"/>
        <v>50874.7</v>
      </c>
      <c r="L115" s="212">
        <f t="shared" si="33"/>
        <v>-2351.8999999999942</v>
      </c>
      <c r="M115" s="203">
        <f t="shared" si="26"/>
        <v>-128.43371531952039</v>
      </c>
      <c r="N115" s="204">
        <f t="shared" si="27"/>
        <v>-2480.3337153195143</v>
      </c>
      <c r="O115" s="203">
        <v>0</v>
      </c>
      <c r="P115" s="203">
        <v>0</v>
      </c>
      <c r="Q115" s="203">
        <v>0</v>
      </c>
      <c r="R115" s="204">
        <f t="shared" si="28"/>
        <v>-2480.3337153195143</v>
      </c>
    </row>
    <row r="116" spans="1:18" x14ac:dyDescent="0.2">
      <c r="A116" s="124">
        <v>1</v>
      </c>
      <c r="B116" s="196">
        <f t="shared" si="35"/>
        <v>44562</v>
      </c>
      <c r="C116" s="217">
        <f t="shared" si="32"/>
        <v>44595</v>
      </c>
      <c r="D116" s="217">
        <f t="shared" si="32"/>
        <v>44615</v>
      </c>
      <c r="E116" s="197" t="s">
        <v>13</v>
      </c>
      <c r="F116" s="124">
        <v>9</v>
      </c>
      <c r="G116" s="198">
        <v>1045</v>
      </c>
      <c r="H116" s="199">
        <f t="shared" si="25"/>
        <v>877.15</v>
      </c>
      <c r="I116" s="199">
        <f t="shared" si="34"/>
        <v>836.6</v>
      </c>
      <c r="J116" s="200">
        <f t="shared" si="36"/>
        <v>874247</v>
      </c>
      <c r="K116" s="201">
        <f t="shared" si="30"/>
        <v>916621.75</v>
      </c>
      <c r="L116" s="202">
        <f>+J116-K116</f>
        <v>-42374.75</v>
      </c>
      <c r="M116" s="203">
        <f t="shared" si="26"/>
        <v>-2314.0212501534279</v>
      </c>
      <c r="N116" s="204">
        <f t="shared" si="27"/>
        <v>-44688.771250153426</v>
      </c>
      <c r="O116" s="203">
        <v>0</v>
      </c>
      <c r="P116" s="203">
        <v>0</v>
      </c>
      <c r="Q116" s="203">
        <v>0</v>
      </c>
      <c r="R116" s="204">
        <f t="shared" si="28"/>
        <v>-44688.771250153426</v>
      </c>
    </row>
    <row r="117" spans="1:18" x14ac:dyDescent="0.2">
      <c r="A117" s="161">
        <v>2</v>
      </c>
      <c r="B117" s="196">
        <f t="shared" si="35"/>
        <v>44593</v>
      </c>
      <c r="C117" s="217">
        <f t="shared" ref="C117:D139" si="37">+C105</f>
        <v>44623</v>
      </c>
      <c r="D117" s="217">
        <f t="shared" si="37"/>
        <v>44642</v>
      </c>
      <c r="E117" s="205" t="s">
        <v>13</v>
      </c>
      <c r="F117" s="161">
        <v>9</v>
      </c>
      <c r="G117" s="198">
        <v>1114</v>
      </c>
      <c r="H117" s="199">
        <f t="shared" si="25"/>
        <v>877.15</v>
      </c>
      <c r="I117" s="199">
        <f t="shared" si="34"/>
        <v>836.6</v>
      </c>
      <c r="J117" s="200">
        <f t="shared" si="36"/>
        <v>931972.4</v>
      </c>
      <c r="K117" s="201">
        <f t="shared" si="30"/>
        <v>977145.1</v>
      </c>
      <c r="L117" s="202">
        <f>+J117-K117</f>
        <v>-45172.699999999953</v>
      </c>
      <c r="M117" s="203">
        <f t="shared" si="26"/>
        <v>-2466.8130838956158</v>
      </c>
      <c r="N117" s="204">
        <f t="shared" si="27"/>
        <v>-47639.513083895567</v>
      </c>
      <c r="O117" s="203">
        <v>0</v>
      </c>
      <c r="P117" s="203">
        <v>0</v>
      </c>
      <c r="Q117" s="203">
        <v>0</v>
      </c>
      <c r="R117" s="204">
        <f t="shared" si="28"/>
        <v>-47639.513083895567</v>
      </c>
    </row>
    <row r="118" spans="1:18" x14ac:dyDescent="0.2">
      <c r="A118" s="161">
        <v>3</v>
      </c>
      <c r="B118" s="196">
        <f t="shared" si="35"/>
        <v>44621</v>
      </c>
      <c r="C118" s="217">
        <f t="shared" si="37"/>
        <v>44656</v>
      </c>
      <c r="D118" s="217">
        <f t="shared" si="37"/>
        <v>44676</v>
      </c>
      <c r="E118" s="205" t="s">
        <v>13</v>
      </c>
      <c r="F118" s="161">
        <v>9</v>
      </c>
      <c r="G118" s="198">
        <v>977</v>
      </c>
      <c r="H118" s="199">
        <f t="shared" si="25"/>
        <v>877.15</v>
      </c>
      <c r="I118" s="199">
        <f t="shared" si="34"/>
        <v>836.6</v>
      </c>
      <c r="J118" s="200">
        <f t="shared" si="36"/>
        <v>817358.20000000007</v>
      </c>
      <c r="K118" s="201">
        <f t="shared" si="30"/>
        <v>856975.54999999993</v>
      </c>
      <c r="L118" s="202">
        <f>+J118-K118</f>
        <v>-39617.34999999986</v>
      </c>
      <c r="M118" s="203">
        <f t="shared" si="26"/>
        <v>-2163.4437908133</v>
      </c>
      <c r="N118" s="204">
        <f t="shared" si="27"/>
        <v>-41780.793790813157</v>
      </c>
      <c r="O118" s="203">
        <v>0</v>
      </c>
      <c r="P118" s="203">
        <v>0</v>
      </c>
      <c r="Q118" s="203">
        <v>0</v>
      </c>
      <c r="R118" s="204">
        <f t="shared" si="28"/>
        <v>-41780.793790813157</v>
      </c>
    </row>
    <row r="119" spans="1:18" x14ac:dyDescent="0.2">
      <c r="A119" s="124">
        <v>4</v>
      </c>
      <c r="B119" s="196">
        <f t="shared" si="35"/>
        <v>44652</v>
      </c>
      <c r="C119" s="217">
        <f t="shared" si="37"/>
        <v>44685</v>
      </c>
      <c r="D119" s="217">
        <f t="shared" si="37"/>
        <v>44705</v>
      </c>
      <c r="E119" s="54" t="s">
        <v>13</v>
      </c>
      <c r="F119" s="161">
        <v>9</v>
      </c>
      <c r="G119" s="198">
        <v>539</v>
      </c>
      <c r="H119" s="199">
        <f t="shared" si="25"/>
        <v>877.15</v>
      </c>
      <c r="I119" s="199">
        <f t="shared" si="34"/>
        <v>836.6</v>
      </c>
      <c r="J119" s="200">
        <f t="shared" si="36"/>
        <v>450927.4</v>
      </c>
      <c r="K119" s="201">
        <f t="shared" si="30"/>
        <v>472783.85</v>
      </c>
      <c r="L119" s="202">
        <f t="shared" ref="L119:L127" si="38">+J119-K119</f>
        <v>-21856.449999999953</v>
      </c>
      <c r="M119" s="203">
        <f t="shared" si="26"/>
        <v>-1193.5478027107154</v>
      </c>
      <c r="N119" s="204">
        <f t="shared" si="27"/>
        <v>-23049.99780271067</v>
      </c>
      <c r="O119" s="203">
        <v>0</v>
      </c>
      <c r="P119" s="203">
        <v>0</v>
      </c>
      <c r="Q119" s="203">
        <v>0</v>
      </c>
      <c r="R119" s="204">
        <f t="shared" si="28"/>
        <v>-23049.99780271067</v>
      </c>
    </row>
    <row r="120" spans="1:18" x14ac:dyDescent="0.2">
      <c r="A120" s="161">
        <v>5</v>
      </c>
      <c r="B120" s="196">
        <f t="shared" si="35"/>
        <v>44682</v>
      </c>
      <c r="C120" s="217">
        <f t="shared" si="37"/>
        <v>44715</v>
      </c>
      <c r="D120" s="217">
        <f t="shared" si="37"/>
        <v>44735</v>
      </c>
      <c r="E120" s="54" t="s">
        <v>13</v>
      </c>
      <c r="F120" s="161">
        <v>9</v>
      </c>
      <c r="G120" s="198">
        <v>754</v>
      </c>
      <c r="H120" s="199">
        <f t="shared" si="25"/>
        <v>877.15</v>
      </c>
      <c r="I120" s="199">
        <f t="shared" si="34"/>
        <v>836.6</v>
      </c>
      <c r="J120" s="200">
        <f t="shared" si="36"/>
        <v>630796.4</v>
      </c>
      <c r="K120" s="201">
        <f t="shared" si="30"/>
        <v>661371.1</v>
      </c>
      <c r="L120" s="202">
        <f t="shared" si="38"/>
        <v>-30574.699999999953</v>
      </c>
      <c r="M120" s="203">
        <f t="shared" si="26"/>
        <v>-1669.638299153765</v>
      </c>
      <c r="N120" s="204">
        <f t="shared" si="27"/>
        <v>-32244.338299153718</v>
      </c>
      <c r="O120" s="203">
        <v>0</v>
      </c>
      <c r="P120" s="203">
        <v>0</v>
      </c>
      <c r="Q120" s="203">
        <v>0</v>
      </c>
      <c r="R120" s="204">
        <f t="shared" si="28"/>
        <v>-32244.338299153718</v>
      </c>
    </row>
    <row r="121" spans="1:18" x14ac:dyDescent="0.2">
      <c r="A121" s="161">
        <v>6</v>
      </c>
      <c r="B121" s="196">
        <f t="shared" si="35"/>
        <v>44713</v>
      </c>
      <c r="C121" s="217">
        <f t="shared" si="37"/>
        <v>44747</v>
      </c>
      <c r="D121" s="217">
        <f t="shared" si="37"/>
        <v>44767</v>
      </c>
      <c r="E121" s="54" t="s">
        <v>13</v>
      </c>
      <c r="F121" s="161">
        <v>9</v>
      </c>
      <c r="G121" s="198">
        <v>946</v>
      </c>
      <c r="H121" s="199">
        <f t="shared" si="25"/>
        <v>877.15</v>
      </c>
      <c r="I121" s="199">
        <f t="shared" si="34"/>
        <v>836.6</v>
      </c>
      <c r="J121" s="200">
        <f t="shared" si="36"/>
        <v>791423.6</v>
      </c>
      <c r="K121" s="201">
        <f t="shared" si="30"/>
        <v>829783.9</v>
      </c>
      <c r="L121" s="206">
        <f t="shared" si="38"/>
        <v>-38360.300000000047</v>
      </c>
      <c r="M121" s="203">
        <f t="shared" si="26"/>
        <v>-2094.798184349419</v>
      </c>
      <c r="N121" s="204">
        <f t="shared" si="27"/>
        <v>-40455.098184349466</v>
      </c>
      <c r="O121" s="203">
        <v>0</v>
      </c>
      <c r="P121" s="203">
        <v>0</v>
      </c>
      <c r="Q121" s="203">
        <v>0</v>
      </c>
      <c r="R121" s="204">
        <f t="shared" si="28"/>
        <v>-40455.098184349466</v>
      </c>
    </row>
    <row r="122" spans="1:18" x14ac:dyDescent="0.2">
      <c r="A122" s="124">
        <v>7</v>
      </c>
      <c r="B122" s="196">
        <f t="shared" si="35"/>
        <v>44743</v>
      </c>
      <c r="C122" s="217">
        <f t="shared" si="37"/>
        <v>44776</v>
      </c>
      <c r="D122" s="217">
        <f t="shared" si="37"/>
        <v>44796</v>
      </c>
      <c r="E122" s="54" t="s">
        <v>13</v>
      </c>
      <c r="F122" s="161">
        <v>9</v>
      </c>
      <c r="G122" s="198">
        <v>979</v>
      </c>
      <c r="H122" s="199">
        <f t="shared" si="25"/>
        <v>877.15</v>
      </c>
      <c r="I122" s="199">
        <f t="shared" si="34"/>
        <v>836.6</v>
      </c>
      <c r="J122" s="200">
        <f t="shared" si="36"/>
        <v>819031.4</v>
      </c>
      <c r="K122" s="207">
        <f t="shared" si="30"/>
        <v>858729.85</v>
      </c>
      <c r="L122" s="206">
        <f t="shared" si="38"/>
        <v>-39698.449999999953</v>
      </c>
      <c r="M122" s="203">
        <f t="shared" si="26"/>
        <v>-2167.8725396174214</v>
      </c>
      <c r="N122" s="204">
        <f t="shared" si="27"/>
        <v>-41866.322539617373</v>
      </c>
      <c r="O122" s="203">
        <v>0</v>
      </c>
      <c r="P122" s="203">
        <v>0</v>
      </c>
      <c r="Q122" s="203">
        <v>0</v>
      </c>
      <c r="R122" s="204">
        <f t="shared" si="28"/>
        <v>-41866.322539617373</v>
      </c>
    </row>
    <row r="123" spans="1:18" x14ac:dyDescent="0.2">
      <c r="A123" s="161">
        <v>8</v>
      </c>
      <c r="B123" s="196">
        <f t="shared" si="35"/>
        <v>44774</v>
      </c>
      <c r="C123" s="217">
        <f t="shared" si="37"/>
        <v>44809</v>
      </c>
      <c r="D123" s="217">
        <f t="shared" si="37"/>
        <v>44827</v>
      </c>
      <c r="E123" s="54" t="s">
        <v>13</v>
      </c>
      <c r="F123" s="161">
        <v>9</v>
      </c>
      <c r="G123" s="198">
        <v>973</v>
      </c>
      <c r="H123" s="199">
        <f t="shared" si="25"/>
        <v>877.15</v>
      </c>
      <c r="I123" s="199">
        <f t="shared" si="34"/>
        <v>836.6</v>
      </c>
      <c r="J123" s="200">
        <f t="shared" si="36"/>
        <v>814011.8</v>
      </c>
      <c r="K123" s="207">
        <f t="shared" si="30"/>
        <v>853466.95</v>
      </c>
      <c r="L123" s="206">
        <f t="shared" si="38"/>
        <v>-39455.149999999907</v>
      </c>
      <c r="M123" s="203">
        <f t="shared" si="26"/>
        <v>-2154.5862932050572</v>
      </c>
      <c r="N123" s="204">
        <f t="shared" si="27"/>
        <v>-41609.736293204965</v>
      </c>
      <c r="O123" s="203">
        <v>0</v>
      </c>
      <c r="P123" s="203">
        <v>0</v>
      </c>
      <c r="Q123" s="203">
        <v>0</v>
      </c>
      <c r="R123" s="204">
        <f t="shared" si="28"/>
        <v>-41609.736293204965</v>
      </c>
    </row>
    <row r="124" spans="1:18" x14ac:dyDescent="0.2">
      <c r="A124" s="161">
        <v>9</v>
      </c>
      <c r="B124" s="196">
        <f t="shared" si="35"/>
        <v>44805</v>
      </c>
      <c r="C124" s="217">
        <f t="shared" si="37"/>
        <v>44839</v>
      </c>
      <c r="D124" s="217">
        <f t="shared" si="37"/>
        <v>44859</v>
      </c>
      <c r="E124" s="54" t="s">
        <v>13</v>
      </c>
      <c r="F124" s="161">
        <v>9</v>
      </c>
      <c r="G124" s="198">
        <v>847</v>
      </c>
      <c r="H124" s="199">
        <f t="shared" si="25"/>
        <v>877.15</v>
      </c>
      <c r="I124" s="199">
        <f t="shared" si="34"/>
        <v>836.6</v>
      </c>
      <c r="J124" s="200">
        <f t="shared" si="36"/>
        <v>708600.20000000007</v>
      </c>
      <c r="K124" s="207">
        <f t="shared" si="30"/>
        <v>742946.04999999993</v>
      </c>
      <c r="L124" s="206">
        <f t="shared" si="38"/>
        <v>-34345.84999999986</v>
      </c>
      <c r="M124" s="203">
        <f t="shared" si="26"/>
        <v>-1875.5751185454099</v>
      </c>
      <c r="N124" s="204">
        <f t="shared" si="27"/>
        <v>-36221.425118545267</v>
      </c>
      <c r="O124" s="203">
        <v>0</v>
      </c>
      <c r="P124" s="203">
        <v>0</v>
      </c>
      <c r="Q124" s="203">
        <v>0</v>
      </c>
      <c r="R124" s="204">
        <f t="shared" si="28"/>
        <v>-36221.425118545267</v>
      </c>
    </row>
    <row r="125" spans="1:18" x14ac:dyDescent="0.2">
      <c r="A125" s="124">
        <v>10</v>
      </c>
      <c r="B125" s="196">
        <f t="shared" si="35"/>
        <v>44835</v>
      </c>
      <c r="C125" s="217">
        <f t="shared" si="37"/>
        <v>44868</v>
      </c>
      <c r="D125" s="217">
        <f t="shared" si="37"/>
        <v>44888</v>
      </c>
      <c r="E125" s="54" t="s">
        <v>13</v>
      </c>
      <c r="F125" s="161">
        <v>9</v>
      </c>
      <c r="G125" s="198">
        <v>609</v>
      </c>
      <c r="H125" s="199">
        <f t="shared" si="25"/>
        <v>877.15</v>
      </c>
      <c r="I125" s="199">
        <f t="shared" si="34"/>
        <v>836.6</v>
      </c>
      <c r="J125" s="200">
        <f t="shared" si="36"/>
        <v>509489.4</v>
      </c>
      <c r="K125" s="207">
        <f t="shared" si="30"/>
        <v>534184.35</v>
      </c>
      <c r="L125" s="206">
        <f t="shared" si="38"/>
        <v>-24694.949999999953</v>
      </c>
      <c r="M125" s="203">
        <f t="shared" si="26"/>
        <v>-1348.554010854964</v>
      </c>
      <c r="N125" s="204">
        <f t="shared" si="27"/>
        <v>-26043.504010854918</v>
      </c>
      <c r="O125" s="203">
        <v>0</v>
      </c>
      <c r="P125" s="203">
        <v>0</v>
      </c>
      <c r="Q125" s="203">
        <v>0</v>
      </c>
      <c r="R125" s="204">
        <f t="shared" si="28"/>
        <v>-26043.504010854918</v>
      </c>
    </row>
    <row r="126" spans="1:18" x14ac:dyDescent="0.2">
      <c r="A126" s="161">
        <v>11</v>
      </c>
      <c r="B126" s="196">
        <f t="shared" si="35"/>
        <v>44866</v>
      </c>
      <c r="C126" s="217">
        <f t="shared" si="37"/>
        <v>44900</v>
      </c>
      <c r="D126" s="217">
        <f t="shared" si="37"/>
        <v>44918</v>
      </c>
      <c r="E126" s="54" t="s">
        <v>13</v>
      </c>
      <c r="F126" s="161">
        <v>9</v>
      </c>
      <c r="G126" s="198">
        <v>807</v>
      </c>
      <c r="H126" s="199">
        <f t="shared" si="25"/>
        <v>877.15</v>
      </c>
      <c r="I126" s="199">
        <f t="shared" si="34"/>
        <v>836.6</v>
      </c>
      <c r="J126" s="200">
        <f t="shared" si="36"/>
        <v>675136.20000000007</v>
      </c>
      <c r="K126" s="207">
        <f t="shared" si="30"/>
        <v>707860.04999999993</v>
      </c>
      <c r="L126" s="206">
        <f t="shared" si="38"/>
        <v>-32723.84999999986</v>
      </c>
      <c r="M126" s="203">
        <f t="shared" si="26"/>
        <v>-1787.0001424629818</v>
      </c>
      <c r="N126" s="204">
        <f t="shared" si="27"/>
        <v>-34510.850142462841</v>
      </c>
      <c r="O126" s="203">
        <v>0</v>
      </c>
      <c r="P126" s="203">
        <v>0</v>
      </c>
      <c r="Q126" s="203">
        <v>0</v>
      </c>
      <c r="R126" s="204">
        <f t="shared" si="28"/>
        <v>-34510.850142462841</v>
      </c>
    </row>
    <row r="127" spans="1:18" s="221" customFormat="1" x14ac:dyDescent="0.2">
      <c r="A127" s="161">
        <v>12</v>
      </c>
      <c r="B127" s="219">
        <f t="shared" si="35"/>
        <v>44896</v>
      </c>
      <c r="C127" s="222">
        <f t="shared" si="37"/>
        <v>44930</v>
      </c>
      <c r="D127" s="222">
        <f t="shared" si="37"/>
        <v>44950</v>
      </c>
      <c r="E127" s="220" t="s">
        <v>13</v>
      </c>
      <c r="F127" s="172">
        <v>9</v>
      </c>
      <c r="G127" s="208">
        <v>1434</v>
      </c>
      <c r="H127" s="209">
        <f t="shared" si="25"/>
        <v>877.15</v>
      </c>
      <c r="I127" s="209">
        <f t="shared" si="34"/>
        <v>836.6</v>
      </c>
      <c r="J127" s="210">
        <f t="shared" si="36"/>
        <v>1199684.4000000001</v>
      </c>
      <c r="K127" s="211">
        <f t="shared" si="30"/>
        <v>1257833.0999999999</v>
      </c>
      <c r="L127" s="212">
        <f t="shared" si="38"/>
        <v>-58148.699999999721</v>
      </c>
      <c r="M127" s="203">
        <f t="shared" si="26"/>
        <v>-3175.4128925550385</v>
      </c>
      <c r="N127" s="204">
        <f t="shared" si="27"/>
        <v>-61324.11289255476</v>
      </c>
      <c r="O127" s="203">
        <v>0</v>
      </c>
      <c r="P127" s="203">
        <v>0</v>
      </c>
      <c r="Q127" s="203">
        <v>0</v>
      </c>
      <c r="R127" s="204">
        <f t="shared" si="28"/>
        <v>-61324.11289255476</v>
      </c>
    </row>
    <row r="128" spans="1:18" x14ac:dyDescent="0.2">
      <c r="A128" s="124">
        <v>1</v>
      </c>
      <c r="B128" s="196">
        <f t="shared" si="35"/>
        <v>44562</v>
      </c>
      <c r="C128" s="217">
        <f t="shared" si="37"/>
        <v>44595</v>
      </c>
      <c r="D128" s="217">
        <f t="shared" si="37"/>
        <v>44615</v>
      </c>
      <c r="E128" s="197" t="s">
        <v>15</v>
      </c>
      <c r="F128" s="124">
        <v>9</v>
      </c>
      <c r="G128" s="198">
        <v>8</v>
      </c>
      <c r="H128" s="199">
        <f t="shared" si="25"/>
        <v>877.15</v>
      </c>
      <c r="I128" s="199">
        <f t="shared" ref="I128:I147" si="39">$J$3</f>
        <v>836.6</v>
      </c>
      <c r="J128" s="200">
        <f t="shared" si="36"/>
        <v>6692.8</v>
      </c>
      <c r="K128" s="201">
        <f t="shared" si="30"/>
        <v>7017.2</v>
      </c>
      <c r="L128" s="202">
        <f>+J128-K128</f>
        <v>-324.39999999999964</v>
      </c>
      <c r="M128" s="203">
        <f t="shared" si="26"/>
        <v>-17.714995216485573</v>
      </c>
      <c r="N128" s="204">
        <f t="shared" si="27"/>
        <v>-342.11499521648523</v>
      </c>
      <c r="O128" s="203">
        <v>0</v>
      </c>
      <c r="P128" s="203">
        <v>0</v>
      </c>
      <c r="Q128" s="203">
        <v>0</v>
      </c>
      <c r="R128" s="204">
        <f t="shared" si="28"/>
        <v>-342.11499521648523</v>
      </c>
    </row>
    <row r="129" spans="1:18" x14ac:dyDescent="0.2">
      <c r="A129" s="161">
        <v>2</v>
      </c>
      <c r="B129" s="196">
        <f t="shared" si="35"/>
        <v>44593</v>
      </c>
      <c r="C129" s="217">
        <f t="shared" si="37"/>
        <v>44623</v>
      </c>
      <c r="D129" s="217">
        <f t="shared" si="37"/>
        <v>44642</v>
      </c>
      <c r="E129" s="205" t="s">
        <v>15</v>
      </c>
      <c r="F129" s="161">
        <v>9</v>
      </c>
      <c r="G129" s="198">
        <v>7</v>
      </c>
      <c r="H129" s="199">
        <f t="shared" si="25"/>
        <v>877.15</v>
      </c>
      <c r="I129" s="199">
        <f t="shared" si="39"/>
        <v>836.6</v>
      </c>
      <c r="J129" s="200">
        <f t="shared" si="36"/>
        <v>5856.2</v>
      </c>
      <c r="K129" s="201">
        <f t="shared" si="30"/>
        <v>6140.05</v>
      </c>
      <c r="L129" s="202">
        <f>+J129-K129</f>
        <v>-283.85000000000036</v>
      </c>
      <c r="M129" s="203">
        <f t="shared" si="26"/>
        <v>-15.500620814424872</v>
      </c>
      <c r="N129" s="204">
        <f t="shared" si="27"/>
        <v>-299.35062081442521</v>
      </c>
      <c r="O129" s="203">
        <v>0</v>
      </c>
      <c r="P129" s="203">
        <v>0</v>
      </c>
      <c r="Q129" s="203">
        <v>0</v>
      </c>
      <c r="R129" s="204">
        <f t="shared" si="28"/>
        <v>-299.35062081442521</v>
      </c>
    </row>
    <row r="130" spans="1:18" x14ac:dyDescent="0.2">
      <c r="A130" s="161">
        <v>3</v>
      </c>
      <c r="B130" s="196">
        <f t="shared" si="35"/>
        <v>44621</v>
      </c>
      <c r="C130" s="217">
        <f t="shared" si="37"/>
        <v>44656</v>
      </c>
      <c r="D130" s="217">
        <f t="shared" si="37"/>
        <v>44676</v>
      </c>
      <c r="E130" s="205" t="s">
        <v>15</v>
      </c>
      <c r="F130" s="161">
        <v>9</v>
      </c>
      <c r="G130" s="198">
        <v>5</v>
      </c>
      <c r="H130" s="199">
        <f t="shared" si="25"/>
        <v>877.15</v>
      </c>
      <c r="I130" s="199">
        <f t="shared" si="39"/>
        <v>836.6</v>
      </c>
      <c r="J130" s="200">
        <f t="shared" si="36"/>
        <v>4183</v>
      </c>
      <c r="K130" s="201">
        <f t="shared" si="30"/>
        <v>4385.75</v>
      </c>
      <c r="L130" s="202">
        <f>+J130-K130</f>
        <v>-202.75</v>
      </c>
      <c r="M130" s="203">
        <f t="shared" si="26"/>
        <v>-11.071872010303482</v>
      </c>
      <c r="N130" s="204">
        <f t="shared" si="27"/>
        <v>-213.82187201030348</v>
      </c>
      <c r="O130" s="203">
        <v>0</v>
      </c>
      <c r="P130" s="203">
        <v>0</v>
      </c>
      <c r="Q130" s="203">
        <v>0</v>
      </c>
      <c r="R130" s="204">
        <f t="shared" si="28"/>
        <v>-213.82187201030348</v>
      </c>
    </row>
    <row r="131" spans="1:18" x14ac:dyDescent="0.2">
      <c r="A131" s="124">
        <v>4</v>
      </c>
      <c r="B131" s="196">
        <f t="shared" si="35"/>
        <v>44652</v>
      </c>
      <c r="C131" s="217">
        <f t="shared" si="37"/>
        <v>44685</v>
      </c>
      <c r="D131" s="217">
        <f t="shared" si="37"/>
        <v>44705</v>
      </c>
      <c r="E131" s="205" t="s">
        <v>15</v>
      </c>
      <c r="F131" s="161">
        <v>9</v>
      </c>
      <c r="G131" s="198">
        <v>7</v>
      </c>
      <c r="H131" s="199">
        <f t="shared" si="25"/>
        <v>877.15</v>
      </c>
      <c r="I131" s="199">
        <f t="shared" si="39"/>
        <v>836.6</v>
      </c>
      <c r="J131" s="200">
        <f t="shared" si="36"/>
        <v>5856.2</v>
      </c>
      <c r="K131" s="201">
        <f t="shared" si="30"/>
        <v>6140.05</v>
      </c>
      <c r="L131" s="202">
        <f t="shared" ref="L131:L141" si="40">+J131-K131</f>
        <v>-283.85000000000036</v>
      </c>
      <c r="M131" s="203">
        <f t="shared" si="26"/>
        <v>-15.500620814424872</v>
      </c>
      <c r="N131" s="204">
        <f t="shared" si="27"/>
        <v>-299.35062081442521</v>
      </c>
      <c r="O131" s="203">
        <v>0</v>
      </c>
      <c r="P131" s="203">
        <v>0</v>
      </c>
      <c r="Q131" s="203">
        <v>0</v>
      </c>
      <c r="R131" s="204">
        <f t="shared" si="28"/>
        <v>-299.35062081442521</v>
      </c>
    </row>
    <row r="132" spans="1:18" x14ac:dyDescent="0.2">
      <c r="A132" s="161">
        <v>5</v>
      </c>
      <c r="B132" s="196">
        <f t="shared" si="35"/>
        <v>44682</v>
      </c>
      <c r="C132" s="217">
        <f t="shared" si="37"/>
        <v>44715</v>
      </c>
      <c r="D132" s="217">
        <f t="shared" si="37"/>
        <v>44735</v>
      </c>
      <c r="E132" s="54" t="s">
        <v>15</v>
      </c>
      <c r="F132" s="161">
        <v>9</v>
      </c>
      <c r="G132" s="198">
        <v>10</v>
      </c>
      <c r="H132" s="199">
        <f t="shared" si="25"/>
        <v>877.15</v>
      </c>
      <c r="I132" s="199">
        <f t="shared" si="39"/>
        <v>836.6</v>
      </c>
      <c r="J132" s="200">
        <f t="shared" si="36"/>
        <v>8366</v>
      </c>
      <c r="K132" s="201">
        <f t="shared" si="30"/>
        <v>8771.5</v>
      </c>
      <c r="L132" s="202">
        <f t="shared" si="40"/>
        <v>-405.5</v>
      </c>
      <c r="M132" s="203">
        <f t="shared" si="26"/>
        <v>-22.143744020606963</v>
      </c>
      <c r="N132" s="204">
        <f t="shared" si="27"/>
        <v>-427.64374402060696</v>
      </c>
      <c r="O132" s="203">
        <v>0</v>
      </c>
      <c r="P132" s="203">
        <v>0</v>
      </c>
      <c r="Q132" s="203">
        <v>0</v>
      </c>
      <c r="R132" s="204">
        <f t="shared" si="28"/>
        <v>-427.64374402060696</v>
      </c>
    </row>
    <row r="133" spans="1:18" x14ac:dyDescent="0.2">
      <c r="A133" s="161">
        <v>6</v>
      </c>
      <c r="B133" s="196">
        <f t="shared" si="35"/>
        <v>44713</v>
      </c>
      <c r="C133" s="217">
        <f t="shared" si="37"/>
        <v>44747</v>
      </c>
      <c r="D133" s="217">
        <f t="shared" si="37"/>
        <v>44767</v>
      </c>
      <c r="E133" s="54" t="s">
        <v>15</v>
      </c>
      <c r="F133" s="161">
        <v>9</v>
      </c>
      <c r="G133" s="198">
        <v>14</v>
      </c>
      <c r="H133" s="199">
        <f t="shared" si="25"/>
        <v>877.15</v>
      </c>
      <c r="I133" s="199">
        <f t="shared" si="39"/>
        <v>836.6</v>
      </c>
      <c r="J133" s="200">
        <f t="shared" si="36"/>
        <v>11712.4</v>
      </c>
      <c r="K133" s="201">
        <f t="shared" si="30"/>
        <v>12280.1</v>
      </c>
      <c r="L133" s="206">
        <f t="shared" si="40"/>
        <v>-567.70000000000073</v>
      </c>
      <c r="M133" s="203">
        <f t="shared" si="26"/>
        <v>-31.001241628849744</v>
      </c>
      <c r="N133" s="204">
        <f t="shared" si="27"/>
        <v>-598.70124162885043</v>
      </c>
      <c r="O133" s="203">
        <v>0</v>
      </c>
      <c r="P133" s="203">
        <v>0</v>
      </c>
      <c r="Q133" s="203">
        <v>0</v>
      </c>
      <c r="R133" s="204">
        <f t="shared" si="28"/>
        <v>-598.70124162885043</v>
      </c>
    </row>
    <row r="134" spans="1:18" x14ac:dyDescent="0.2">
      <c r="A134" s="124">
        <v>7</v>
      </c>
      <c r="B134" s="196">
        <f t="shared" si="35"/>
        <v>44743</v>
      </c>
      <c r="C134" s="217">
        <f t="shared" si="37"/>
        <v>44776</v>
      </c>
      <c r="D134" s="217">
        <f t="shared" si="37"/>
        <v>44796</v>
      </c>
      <c r="E134" s="54" t="s">
        <v>15</v>
      </c>
      <c r="F134" s="161">
        <v>9</v>
      </c>
      <c r="G134" s="198">
        <v>18</v>
      </c>
      <c r="H134" s="199">
        <f t="shared" si="25"/>
        <v>877.15</v>
      </c>
      <c r="I134" s="199">
        <f t="shared" si="39"/>
        <v>836.6</v>
      </c>
      <c r="J134" s="200">
        <f t="shared" si="36"/>
        <v>15058.800000000001</v>
      </c>
      <c r="K134" s="207">
        <f t="shared" ref="K134:K197" si="41">+$G134*H134</f>
        <v>15788.699999999999</v>
      </c>
      <c r="L134" s="206">
        <f t="shared" si="40"/>
        <v>-729.89999999999782</v>
      </c>
      <c r="M134" s="203">
        <f t="shared" si="26"/>
        <v>-39.858739237092536</v>
      </c>
      <c r="N134" s="204">
        <f t="shared" si="27"/>
        <v>-769.75873923709037</v>
      </c>
      <c r="O134" s="203">
        <v>0</v>
      </c>
      <c r="P134" s="203">
        <v>0</v>
      </c>
      <c r="Q134" s="203">
        <v>0</v>
      </c>
      <c r="R134" s="204">
        <f t="shared" si="28"/>
        <v>-769.75873923709037</v>
      </c>
    </row>
    <row r="135" spans="1:18" x14ac:dyDescent="0.2">
      <c r="A135" s="161">
        <v>8</v>
      </c>
      <c r="B135" s="196">
        <f t="shared" si="35"/>
        <v>44774</v>
      </c>
      <c r="C135" s="217">
        <f t="shared" si="37"/>
        <v>44809</v>
      </c>
      <c r="D135" s="217">
        <f t="shared" si="37"/>
        <v>44827</v>
      </c>
      <c r="E135" s="54" t="s">
        <v>15</v>
      </c>
      <c r="F135" s="161">
        <v>9</v>
      </c>
      <c r="G135" s="198">
        <v>16</v>
      </c>
      <c r="H135" s="199">
        <f t="shared" si="25"/>
        <v>877.15</v>
      </c>
      <c r="I135" s="199">
        <f t="shared" si="39"/>
        <v>836.6</v>
      </c>
      <c r="J135" s="200">
        <f t="shared" si="36"/>
        <v>13385.6</v>
      </c>
      <c r="K135" s="207">
        <f t="shared" si="41"/>
        <v>14034.4</v>
      </c>
      <c r="L135" s="206">
        <f t="shared" si="40"/>
        <v>-648.79999999999927</v>
      </c>
      <c r="M135" s="203">
        <f t="shared" si="26"/>
        <v>-35.429990432971145</v>
      </c>
      <c r="N135" s="204">
        <f t="shared" si="27"/>
        <v>-684.22999043297045</v>
      </c>
      <c r="O135" s="203">
        <v>0</v>
      </c>
      <c r="P135" s="203">
        <v>0</v>
      </c>
      <c r="Q135" s="203">
        <v>0</v>
      </c>
      <c r="R135" s="204">
        <f t="shared" si="28"/>
        <v>-684.22999043297045</v>
      </c>
    </row>
    <row r="136" spans="1:18" x14ac:dyDescent="0.2">
      <c r="A136" s="161">
        <v>9</v>
      </c>
      <c r="B136" s="196">
        <f t="shared" si="35"/>
        <v>44805</v>
      </c>
      <c r="C136" s="217">
        <f t="shared" si="37"/>
        <v>44839</v>
      </c>
      <c r="D136" s="217">
        <f t="shared" si="37"/>
        <v>44859</v>
      </c>
      <c r="E136" s="54" t="s">
        <v>15</v>
      </c>
      <c r="F136" s="161">
        <v>9</v>
      </c>
      <c r="G136" s="198">
        <v>9</v>
      </c>
      <c r="H136" s="199">
        <f t="shared" si="25"/>
        <v>877.15</v>
      </c>
      <c r="I136" s="199">
        <f t="shared" si="39"/>
        <v>836.6</v>
      </c>
      <c r="J136" s="200">
        <f t="shared" si="36"/>
        <v>7529.4000000000005</v>
      </c>
      <c r="K136" s="207">
        <f t="shared" si="41"/>
        <v>7894.3499999999995</v>
      </c>
      <c r="L136" s="206">
        <f t="shared" si="40"/>
        <v>-364.94999999999891</v>
      </c>
      <c r="M136" s="203">
        <f t="shared" si="26"/>
        <v>-19.929369618546268</v>
      </c>
      <c r="N136" s="204">
        <f t="shared" si="27"/>
        <v>-384.87936961854518</v>
      </c>
      <c r="O136" s="203">
        <v>0</v>
      </c>
      <c r="P136" s="203">
        <v>0</v>
      </c>
      <c r="Q136" s="203">
        <v>0</v>
      </c>
      <c r="R136" s="204">
        <f t="shared" si="28"/>
        <v>-384.87936961854518</v>
      </c>
    </row>
    <row r="137" spans="1:18" x14ac:dyDescent="0.2">
      <c r="A137" s="124">
        <v>10</v>
      </c>
      <c r="B137" s="196">
        <f t="shared" si="35"/>
        <v>44835</v>
      </c>
      <c r="C137" s="217">
        <f t="shared" si="37"/>
        <v>44868</v>
      </c>
      <c r="D137" s="217">
        <f t="shared" si="37"/>
        <v>44888</v>
      </c>
      <c r="E137" s="54" t="s">
        <v>15</v>
      </c>
      <c r="F137" s="161">
        <v>9</v>
      </c>
      <c r="G137" s="198">
        <v>6</v>
      </c>
      <c r="H137" s="199">
        <f t="shared" si="25"/>
        <v>877.15</v>
      </c>
      <c r="I137" s="199">
        <f t="shared" si="39"/>
        <v>836.6</v>
      </c>
      <c r="J137" s="200">
        <f t="shared" si="36"/>
        <v>5019.6000000000004</v>
      </c>
      <c r="K137" s="207">
        <f t="shared" si="41"/>
        <v>5262.9</v>
      </c>
      <c r="L137" s="206">
        <f t="shared" si="40"/>
        <v>-243.29999999999927</v>
      </c>
      <c r="M137" s="203">
        <f t="shared" si="26"/>
        <v>-13.286246412364177</v>
      </c>
      <c r="N137" s="204">
        <f t="shared" si="27"/>
        <v>-256.58624641236344</v>
      </c>
      <c r="O137" s="203">
        <v>0</v>
      </c>
      <c r="P137" s="203">
        <v>0</v>
      </c>
      <c r="Q137" s="203">
        <v>0</v>
      </c>
      <c r="R137" s="204">
        <f t="shared" si="28"/>
        <v>-256.58624641236344</v>
      </c>
    </row>
    <row r="138" spans="1:18" x14ac:dyDescent="0.2">
      <c r="A138" s="161">
        <v>11</v>
      </c>
      <c r="B138" s="196">
        <f t="shared" si="35"/>
        <v>44866</v>
      </c>
      <c r="C138" s="217">
        <f t="shared" si="37"/>
        <v>44900</v>
      </c>
      <c r="D138" s="217">
        <f t="shared" si="37"/>
        <v>44918</v>
      </c>
      <c r="E138" s="54" t="s">
        <v>15</v>
      </c>
      <c r="F138" s="161">
        <v>9</v>
      </c>
      <c r="G138" s="198">
        <v>6</v>
      </c>
      <c r="H138" s="199">
        <f t="shared" si="25"/>
        <v>877.15</v>
      </c>
      <c r="I138" s="199">
        <f t="shared" si="39"/>
        <v>836.6</v>
      </c>
      <c r="J138" s="200">
        <f t="shared" si="36"/>
        <v>5019.6000000000004</v>
      </c>
      <c r="K138" s="207">
        <f t="shared" si="41"/>
        <v>5262.9</v>
      </c>
      <c r="L138" s="206">
        <f t="shared" si="40"/>
        <v>-243.29999999999927</v>
      </c>
      <c r="M138" s="203">
        <f t="shared" si="26"/>
        <v>-13.286246412364177</v>
      </c>
      <c r="N138" s="204">
        <f t="shared" si="27"/>
        <v>-256.58624641236344</v>
      </c>
      <c r="O138" s="203">
        <v>0</v>
      </c>
      <c r="P138" s="203">
        <v>0</v>
      </c>
      <c r="Q138" s="203">
        <v>0</v>
      </c>
      <c r="R138" s="204">
        <f t="shared" si="28"/>
        <v>-256.58624641236344</v>
      </c>
    </row>
    <row r="139" spans="1:18" s="221" customFormat="1" x14ac:dyDescent="0.2">
      <c r="A139" s="161">
        <v>12</v>
      </c>
      <c r="B139" s="219">
        <f t="shared" si="35"/>
        <v>44896</v>
      </c>
      <c r="C139" s="217">
        <f t="shared" si="37"/>
        <v>44930</v>
      </c>
      <c r="D139" s="217">
        <f t="shared" si="37"/>
        <v>44950</v>
      </c>
      <c r="E139" s="220" t="s">
        <v>15</v>
      </c>
      <c r="F139" s="172">
        <v>9</v>
      </c>
      <c r="G139" s="208">
        <v>8</v>
      </c>
      <c r="H139" s="209">
        <f t="shared" si="25"/>
        <v>877.15</v>
      </c>
      <c r="I139" s="209">
        <f t="shared" si="39"/>
        <v>836.6</v>
      </c>
      <c r="J139" s="210">
        <f t="shared" si="36"/>
        <v>6692.8</v>
      </c>
      <c r="K139" s="211">
        <f t="shared" si="41"/>
        <v>7017.2</v>
      </c>
      <c r="L139" s="212">
        <f t="shared" si="40"/>
        <v>-324.39999999999964</v>
      </c>
      <c r="M139" s="203">
        <f t="shared" si="26"/>
        <v>-17.714995216485573</v>
      </c>
      <c r="N139" s="204">
        <f t="shared" si="27"/>
        <v>-342.11499521648523</v>
      </c>
      <c r="O139" s="203">
        <v>0</v>
      </c>
      <c r="P139" s="203">
        <v>0</v>
      </c>
      <c r="Q139" s="203">
        <v>0</v>
      </c>
      <c r="R139" s="204">
        <f t="shared" si="28"/>
        <v>-342.11499521648523</v>
      </c>
    </row>
    <row r="140" spans="1:18" x14ac:dyDescent="0.2">
      <c r="A140" s="124">
        <v>1</v>
      </c>
      <c r="B140" s="196">
        <f t="shared" si="35"/>
        <v>44562</v>
      </c>
      <c r="C140" s="214">
        <f t="shared" ref="C140:D151" si="42">+C128</f>
        <v>44595</v>
      </c>
      <c r="D140" s="214">
        <f t="shared" si="42"/>
        <v>44615</v>
      </c>
      <c r="E140" s="224" t="s">
        <v>16</v>
      </c>
      <c r="F140" s="161">
        <v>9</v>
      </c>
      <c r="G140" s="198">
        <v>3</v>
      </c>
      <c r="H140" s="199">
        <f t="shared" si="25"/>
        <v>877.15</v>
      </c>
      <c r="I140" s="199">
        <f t="shared" si="39"/>
        <v>836.6</v>
      </c>
      <c r="J140" s="200">
        <f t="shared" si="36"/>
        <v>2509.8000000000002</v>
      </c>
      <c r="K140" s="201">
        <f t="shared" si="41"/>
        <v>2631.45</v>
      </c>
      <c r="L140" s="202">
        <f t="shared" si="40"/>
        <v>-121.64999999999964</v>
      </c>
      <c r="M140" s="203">
        <f t="shared" si="26"/>
        <v>-6.6431232061820884</v>
      </c>
      <c r="N140" s="204">
        <f t="shared" si="27"/>
        <v>-128.29312320618172</v>
      </c>
      <c r="O140" s="203">
        <v>0</v>
      </c>
      <c r="P140" s="203">
        <v>0</v>
      </c>
      <c r="Q140" s="203">
        <v>0</v>
      </c>
      <c r="R140" s="204">
        <f t="shared" si="28"/>
        <v>-128.29312320618172</v>
      </c>
    </row>
    <row r="141" spans="1:18" x14ac:dyDescent="0.2">
      <c r="A141" s="161">
        <v>2</v>
      </c>
      <c r="B141" s="196">
        <f t="shared" si="35"/>
        <v>44593</v>
      </c>
      <c r="C141" s="217">
        <f t="shared" si="42"/>
        <v>44623</v>
      </c>
      <c r="D141" s="217">
        <f t="shared" si="42"/>
        <v>44642</v>
      </c>
      <c r="E141" s="54" t="s">
        <v>16</v>
      </c>
      <c r="F141" s="161">
        <v>9</v>
      </c>
      <c r="G141" s="198">
        <v>2</v>
      </c>
      <c r="H141" s="199">
        <f t="shared" si="25"/>
        <v>877.15</v>
      </c>
      <c r="I141" s="199">
        <f t="shared" si="39"/>
        <v>836.6</v>
      </c>
      <c r="J141" s="200">
        <f t="shared" si="36"/>
        <v>1673.2</v>
      </c>
      <c r="K141" s="201">
        <f t="shared" si="41"/>
        <v>1754.3</v>
      </c>
      <c r="L141" s="202">
        <f t="shared" si="40"/>
        <v>-81.099999999999909</v>
      </c>
      <c r="M141" s="203">
        <f t="shared" si="26"/>
        <v>-4.4287488041213932</v>
      </c>
      <c r="N141" s="204">
        <f t="shared" si="27"/>
        <v>-85.528748804121307</v>
      </c>
      <c r="O141" s="203">
        <v>0</v>
      </c>
      <c r="P141" s="203">
        <v>0</v>
      </c>
      <c r="Q141" s="203">
        <v>0</v>
      </c>
      <c r="R141" s="204">
        <f t="shared" si="28"/>
        <v>-85.528748804121307</v>
      </c>
    </row>
    <row r="142" spans="1:18" x14ac:dyDescent="0.2">
      <c r="A142" s="161">
        <v>3</v>
      </c>
      <c r="B142" s="196">
        <f t="shared" si="35"/>
        <v>44621</v>
      </c>
      <c r="C142" s="217">
        <f t="shared" si="42"/>
        <v>44656</v>
      </c>
      <c r="D142" s="217">
        <f t="shared" si="42"/>
        <v>44676</v>
      </c>
      <c r="E142" s="54" t="s">
        <v>16</v>
      </c>
      <c r="F142" s="161">
        <v>9</v>
      </c>
      <c r="G142" s="198">
        <v>3</v>
      </c>
      <c r="H142" s="199">
        <f t="shared" si="25"/>
        <v>877.15</v>
      </c>
      <c r="I142" s="199">
        <f t="shared" si="39"/>
        <v>836.6</v>
      </c>
      <c r="J142" s="200">
        <f t="shared" si="36"/>
        <v>2509.8000000000002</v>
      </c>
      <c r="K142" s="201">
        <f t="shared" si="41"/>
        <v>2631.45</v>
      </c>
      <c r="L142" s="202">
        <f>+J142-K142</f>
        <v>-121.64999999999964</v>
      </c>
      <c r="M142" s="203">
        <f t="shared" si="26"/>
        <v>-6.6431232061820884</v>
      </c>
      <c r="N142" s="204">
        <f t="shared" si="27"/>
        <v>-128.29312320618172</v>
      </c>
      <c r="O142" s="203">
        <v>0</v>
      </c>
      <c r="P142" s="203">
        <v>0</v>
      </c>
      <c r="Q142" s="203">
        <v>0</v>
      </c>
      <c r="R142" s="204">
        <f t="shared" si="28"/>
        <v>-128.29312320618172</v>
      </c>
    </row>
    <row r="143" spans="1:18" x14ac:dyDescent="0.2">
      <c r="A143" s="124">
        <v>4</v>
      </c>
      <c r="B143" s="196">
        <f t="shared" si="35"/>
        <v>44652</v>
      </c>
      <c r="C143" s="217">
        <f t="shared" si="42"/>
        <v>44685</v>
      </c>
      <c r="D143" s="217">
        <f t="shared" si="42"/>
        <v>44705</v>
      </c>
      <c r="E143" s="54" t="s">
        <v>16</v>
      </c>
      <c r="F143" s="161">
        <v>9</v>
      </c>
      <c r="G143" s="198">
        <v>2</v>
      </c>
      <c r="H143" s="199">
        <f t="shared" si="25"/>
        <v>877.15</v>
      </c>
      <c r="I143" s="199">
        <f t="shared" si="39"/>
        <v>836.6</v>
      </c>
      <c r="J143" s="200">
        <f t="shared" si="36"/>
        <v>1673.2</v>
      </c>
      <c r="K143" s="201">
        <f t="shared" si="41"/>
        <v>1754.3</v>
      </c>
      <c r="L143" s="202">
        <f t="shared" ref="L143:L153" si="43">+J143-K143</f>
        <v>-81.099999999999909</v>
      </c>
      <c r="M143" s="203">
        <f t="shared" si="26"/>
        <v>-4.4287488041213932</v>
      </c>
      <c r="N143" s="204">
        <f t="shared" si="27"/>
        <v>-85.528748804121307</v>
      </c>
      <c r="O143" s="203">
        <v>0</v>
      </c>
      <c r="P143" s="203">
        <v>0</v>
      </c>
      <c r="Q143" s="203">
        <v>0</v>
      </c>
      <c r="R143" s="204">
        <f t="shared" si="28"/>
        <v>-85.528748804121307</v>
      </c>
    </row>
    <row r="144" spans="1:18" x14ac:dyDescent="0.2">
      <c r="A144" s="161">
        <v>5</v>
      </c>
      <c r="B144" s="196">
        <f t="shared" si="35"/>
        <v>44682</v>
      </c>
      <c r="C144" s="217">
        <f t="shared" si="42"/>
        <v>44715</v>
      </c>
      <c r="D144" s="217">
        <f t="shared" si="42"/>
        <v>44735</v>
      </c>
      <c r="E144" s="54" t="s">
        <v>16</v>
      </c>
      <c r="F144" s="161">
        <v>9</v>
      </c>
      <c r="G144" s="198">
        <v>3</v>
      </c>
      <c r="H144" s="199">
        <f t="shared" si="25"/>
        <v>877.15</v>
      </c>
      <c r="I144" s="199">
        <f t="shared" si="39"/>
        <v>836.6</v>
      </c>
      <c r="J144" s="200">
        <f t="shared" si="36"/>
        <v>2509.8000000000002</v>
      </c>
      <c r="K144" s="201">
        <f t="shared" si="41"/>
        <v>2631.45</v>
      </c>
      <c r="L144" s="202">
        <f t="shared" si="43"/>
        <v>-121.64999999999964</v>
      </c>
      <c r="M144" s="203">
        <f t="shared" si="26"/>
        <v>-6.6431232061820884</v>
      </c>
      <c r="N144" s="204">
        <f t="shared" si="27"/>
        <v>-128.29312320618172</v>
      </c>
      <c r="O144" s="203">
        <v>0</v>
      </c>
      <c r="P144" s="203">
        <v>0</v>
      </c>
      <c r="Q144" s="203">
        <v>0</v>
      </c>
      <c r="R144" s="204">
        <f t="shared" si="28"/>
        <v>-128.29312320618172</v>
      </c>
    </row>
    <row r="145" spans="1:19" x14ac:dyDescent="0.2">
      <c r="A145" s="161">
        <v>6</v>
      </c>
      <c r="B145" s="196">
        <f t="shared" si="35"/>
        <v>44713</v>
      </c>
      <c r="C145" s="217">
        <f t="shared" si="42"/>
        <v>44747</v>
      </c>
      <c r="D145" s="217">
        <f t="shared" si="42"/>
        <v>44767</v>
      </c>
      <c r="E145" s="54" t="s">
        <v>16</v>
      </c>
      <c r="F145" s="161">
        <v>9</v>
      </c>
      <c r="G145" s="198">
        <v>5</v>
      </c>
      <c r="H145" s="199">
        <f t="shared" si="25"/>
        <v>877.15</v>
      </c>
      <c r="I145" s="199">
        <f t="shared" si="39"/>
        <v>836.6</v>
      </c>
      <c r="J145" s="200">
        <f t="shared" si="36"/>
        <v>4183</v>
      </c>
      <c r="K145" s="201">
        <f t="shared" si="41"/>
        <v>4385.75</v>
      </c>
      <c r="L145" s="206">
        <f t="shared" si="43"/>
        <v>-202.75</v>
      </c>
      <c r="M145" s="203">
        <f t="shared" si="26"/>
        <v>-11.071872010303482</v>
      </c>
      <c r="N145" s="204">
        <f t="shared" si="27"/>
        <v>-213.82187201030348</v>
      </c>
      <c r="O145" s="203">
        <v>0</v>
      </c>
      <c r="P145" s="203">
        <v>0</v>
      </c>
      <c r="Q145" s="203">
        <v>0</v>
      </c>
      <c r="R145" s="204">
        <f t="shared" si="28"/>
        <v>-213.82187201030348</v>
      </c>
    </row>
    <row r="146" spans="1:19" x14ac:dyDescent="0.2">
      <c r="A146" s="124">
        <v>7</v>
      </c>
      <c r="B146" s="196">
        <f t="shared" si="35"/>
        <v>44743</v>
      </c>
      <c r="C146" s="217">
        <f t="shared" si="42"/>
        <v>44776</v>
      </c>
      <c r="D146" s="217">
        <f t="shared" si="42"/>
        <v>44796</v>
      </c>
      <c r="E146" s="54" t="s">
        <v>16</v>
      </c>
      <c r="F146" s="161">
        <v>9</v>
      </c>
      <c r="G146" s="198">
        <v>6</v>
      </c>
      <c r="H146" s="199">
        <f t="shared" si="25"/>
        <v>877.15</v>
      </c>
      <c r="I146" s="199">
        <f t="shared" si="39"/>
        <v>836.6</v>
      </c>
      <c r="J146" s="200">
        <f t="shared" si="36"/>
        <v>5019.6000000000004</v>
      </c>
      <c r="K146" s="207">
        <f t="shared" si="41"/>
        <v>5262.9</v>
      </c>
      <c r="L146" s="206">
        <f t="shared" si="43"/>
        <v>-243.29999999999927</v>
      </c>
      <c r="M146" s="203">
        <f t="shared" si="26"/>
        <v>-13.286246412364177</v>
      </c>
      <c r="N146" s="204">
        <f t="shared" si="27"/>
        <v>-256.58624641236344</v>
      </c>
      <c r="O146" s="203">
        <v>0</v>
      </c>
      <c r="P146" s="203">
        <v>0</v>
      </c>
      <c r="Q146" s="203">
        <v>0</v>
      </c>
      <c r="R146" s="204">
        <f t="shared" si="28"/>
        <v>-256.58624641236344</v>
      </c>
    </row>
    <row r="147" spans="1:19" x14ac:dyDescent="0.2">
      <c r="A147" s="161">
        <v>8</v>
      </c>
      <c r="B147" s="196">
        <f t="shared" si="35"/>
        <v>44774</v>
      </c>
      <c r="C147" s="217">
        <f t="shared" si="42"/>
        <v>44809</v>
      </c>
      <c r="D147" s="217">
        <f t="shared" si="42"/>
        <v>44827</v>
      </c>
      <c r="E147" s="54" t="s">
        <v>16</v>
      </c>
      <c r="F147" s="161">
        <v>9</v>
      </c>
      <c r="G147" s="198">
        <v>6</v>
      </c>
      <c r="H147" s="199">
        <f t="shared" si="25"/>
        <v>877.15</v>
      </c>
      <c r="I147" s="199">
        <f t="shared" si="39"/>
        <v>836.6</v>
      </c>
      <c r="J147" s="200">
        <f t="shared" si="36"/>
        <v>5019.6000000000004</v>
      </c>
      <c r="K147" s="207">
        <f t="shared" si="41"/>
        <v>5262.9</v>
      </c>
      <c r="L147" s="206">
        <f t="shared" si="43"/>
        <v>-243.29999999999927</v>
      </c>
      <c r="M147" s="203">
        <f t="shared" si="26"/>
        <v>-13.286246412364177</v>
      </c>
      <c r="N147" s="204">
        <f t="shared" si="27"/>
        <v>-256.58624641236344</v>
      </c>
      <c r="O147" s="203">
        <v>0</v>
      </c>
      <c r="P147" s="203">
        <v>0</v>
      </c>
      <c r="Q147" s="203">
        <v>0</v>
      </c>
      <c r="R147" s="204">
        <f t="shared" si="28"/>
        <v>-256.58624641236344</v>
      </c>
    </row>
    <row r="148" spans="1:19" x14ac:dyDescent="0.2">
      <c r="A148" s="161">
        <v>9</v>
      </c>
      <c r="B148" s="196">
        <f t="shared" si="35"/>
        <v>44805</v>
      </c>
      <c r="C148" s="217">
        <f t="shared" si="42"/>
        <v>44839</v>
      </c>
      <c r="D148" s="217">
        <f t="shared" si="42"/>
        <v>44859</v>
      </c>
      <c r="E148" s="54" t="s">
        <v>16</v>
      </c>
      <c r="F148" s="161">
        <v>9</v>
      </c>
      <c r="G148" s="198">
        <v>3</v>
      </c>
      <c r="H148" s="199">
        <f t="shared" si="25"/>
        <v>877.15</v>
      </c>
      <c r="I148" s="199">
        <f t="shared" ref="I148:I179" si="44">$J$3</f>
        <v>836.6</v>
      </c>
      <c r="J148" s="200">
        <f t="shared" si="36"/>
        <v>2509.8000000000002</v>
      </c>
      <c r="K148" s="207">
        <f t="shared" si="41"/>
        <v>2631.45</v>
      </c>
      <c r="L148" s="206">
        <f t="shared" si="43"/>
        <v>-121.64999999999964</v>
      </c>
      <c r="M148" s="203">
        <f t="shared" si="26"/>
        <v>-6.6431232061820884</v>
      </c>
      <c r="N148" s="204">
        <f t="shared" si="27"/>
        <v>-128.29312320618172</v>
      </c>
      <c r="O148" s="203">
        <v>0</v>
      </c>
      <c r="P148" s="203">
        <v>0</v>
      </c>
      <c r="Q148" s="203">
        <v>0</v>
      </c>
      <c r="R148" s="204">
        <f t="shared" si="28"/>
        <v>-128.29312320618172</v>
      </c>
    </row>
    <row r="149" spans="1:19" x14ac:dyDescent="0.2">
      <c r="A149" s="124">
        <v>10</v>
      </c>
      <c r="B149" s="196">
        <f t="shared" ref="B149:B211" si="45">DATE($R$1,A149,1)</f>
        <v>44835</v>
      </c>
      <c r="C149" s="217">
        <f t="shared" si="42"/>
        <v>44868</v>
      </c>
      <c r="D149" s="217">
        <f t="shared" si="42"/>
        <v>44888</v>
      </c>
      <c r="E149" s="54" t="s">
        <v>16</v>
      </c>
      <c r="F149" s="161">
        <v>9</v>
      </c>
      <c r="G149" s="198">
        <v>2</v>
      </c>
      <c r="H149" s="199">
        <f t="shared" ref="H149:H211" si="46">+$K$3</f>
        <v>877.15</v>
      </c>
      <c r="I149" s="199">
        <f t="shared" si="44"/>
        <v>836.6</v>
      </c>
      <c r="J149" s="200">
        <f t="shared" ref="J149:J211" si="47">+$G149*I149</f>
        <v>1673.2</v>
      </c>
      <c r="K149" s="207">
        <f t="shared" si="41"/>
        <v>1754.3</v>
      </c>
      <c r="L149" s="206">
        <f t="shared" si="43"/>
        <v>-81.099999999999909</v>
      </c>
      <c r="M149" s="203">
        <f t="shared" ref="M149:M211" si="48">G149/$G$212*$M$14</f>
        <v>-4.4287488041213932</v>
      </c>
      <c r="N149" s="204">
        <f t="shared" ref="N149:N211" si="49">SUM(L149:M149)</f>
        <v>-85.528748804121307</v>
      </c>
      <c r="O149" s="203">
        <v>0</v>
      </c>
      <c r="P149" s="203">
        <v>0</v>
      </c>
      <c r="Q149" s="203">
        <v>0</v>
      </c>
      <c r="R149" s="204">
        <f t="shared" ref="R149:R211" si="50">+N149-Q149</f>
        <v>-85.528748804121307</v>
      </c>
    </row>
    <row r="150" spans="1:19" x14ac:dyDescent="0.2">
      <c r="A150" s="161">
        <v>11</v>
      </c>
      <c r="B150" s="196">
        <f t="shared" si="45"/>
        <v>44866</v>
      </c>
      <c r="C150" s="217">
        <f t="shared" si="42"/>
        <v>44900</v>
      </c>
      <c r="D150" s="217">
        <f t="shared" si="42"/>
        <v>44918</v>
      </c>
      <c r="E150" s="54" t="s">
        <v>16</v>
      </c>
      <c r="F150" s="161">
        <v>9</v>
      </c>
      <c r="G150" s="198">
        <v>1</v>
      </c>
      <c r="H150" s="199">
        <f t="shared" si="46"/>
        <v>877.15</v>
      </c>
      <c r="I150" s="199">
        <f t="shared" si="44"/>
        <v>836.6</v>
      </c>
      <c r="J150" s="200">
        <f t="shared" si="47"/>
        <v>836.6</v>
      </c>
      <c r="K150" s="207">
        <f t="shared" si="41"/>
        <v>877.15</v>
      </c>
      <c r="L150" s="206">
        <f t="shared" si="43"/>
        <v>-40.549999999999955</v>
      </c>
      <c r="M150" s="203">
        <f t="shared" si="48"/>
        <v>-2.2143744020606966</v>
      </c>
      <c r="N150" s="204">
        <f t="shared" si="49"/>
        <v>-42.764374402060653</v>
      </c>
      <c r="O150" s="203">
        <v>0</v>
      </c>
      <c r="P150" s="203">
        <v>0</v>
      </c>
      <c r="Q150" s="203">
        <v>0</v>
      </c>
      <c r="R150" s="204">
        <f t="shared" si="50"/>
        <v>-42.764374402060653</v>
      </c>
    </row>
    <row r="151" spans="1:19" s="221" customFormat="1" x14ac:dyDescent="0.2">
      <c r="A151" s="161">
        <v>12</v>
      </c>
      <c r="B151" s="219">
        <f t="shared" si="45"/>
        <v>44896</v>
      </c>
      <c r="C151" s="217">
        <f t="shared" si="42"/>
        <v>44930</v>
      </c>
      <c r="D151" s="217">
        <f t="shared" si="42"/>
        <v>44950</v>
      </c>
      <c r="E151" s="220" t="s">
        <v>16</v>
      </c>
      <c r="F151" s="172">
        <v>9</v>
      </c>
      <c r="G151" s="208">
        <v>4</v>
      </c>
      <c r="H151" s="209">
        <f t="shared" si="46"/>
        <v>877.15</v>
      </c>
      <c r="I151" s="209">
        <f t="shared" si="44"/>
        <v>836.6</v>
      </c>
      <c r="J151" s="210">
        <f t="shared" si="47"/>
        <v>3346.4</v>
      </c>
      <c r="K151" s="211">
        <f t="shared" si="41"/>
        <v>3508.6</v>
      </c>
      <c r="L151" s="212">
        <f t="shared" si="43"/>
        <v>-162.19999999999982</v>
      </c>
      <c r="M151" s="203">
        <f t="shared" si="48"/>
        <v>-8.8574976082427863</v>
      </c>
      <c r="N151" s="204">
        <f t="shared" si="49"/>
        <v>-171.05749760824261</v>
      </c>
      <c r="O151" s="203">
        <v>0</v>
      </c>
      <c r="P151" s="203">
        <v>0</v>
      </c>
      <c r="Q151" s="203">
        <v>0</v>
      </c>
      <c r="R151" s="204">
        <f t="shared" si="50"/>
        <v>-171.05749760824261</v>
      </c>
    </row>
    <row r="152" spans="1:19" x14ac:dyDescent="0.2">
      <c r="A152" s="124">
        <v>1</v>
      </c>
      <c r="B152" s="196">
        <f t="shared" si="45"/>
        <v>44562</v>
      </c>
      <c r="C152" s="214">
        <f t="shared" ref="C152:D171" si="51">+C140</f>
        <v>44595</v>
      </c>
      <c r="D152" s="214">
        <f t="shared" si="51"/>
        <v>44615</v>
      </c>
      <c r="E152" s="224" t="s">
        <v>54</v>
      </c>
      <c r="F152" s="124">
        <v>9</v>
      </c>
      <c r="G152" s="198">
        <v>121</v>
      </c>
      <c r="H152" s="199">
        <f t="shared" si="46"/>
        <v>877.15</v>
      </c>
      <c r="I152" s="199">
        <f t="shared" si="44"/>
        <v>836.6</v>
      </c>
      <c r="J152" s="200">
        <f t="shared" si="47"/>
        <v>101228.6</v>
      </c>
      <c r="K152" s="201">
        <f t="shared" si="41"/>
        <v>106135.15</v>
      </c>
      <c r="L152" s="202">
        <f t="shared" si="43"/>
        <v>-4906.5499999999884</v>
      </c>
      <c r="M152" s="203">
        <f t="shared" si="48"/>
        <v>-267.93930264934426</v>
      </c>
      <c r="N152" s="204">
        <f t="shared" si="49"/>
        <v>-5174.4893026493328</v>
      </c>
      <c r="O152" s="203">
        <v>0</v>
      </c>
      <c r="P152" s="203">
        <v>0</v>
      </c>
      <c r="Q152" s="203">
        <v>0</v>
      </c>
      <c r="R152" s="204">
        <f t="shared" si="50"/>
        <v>-5174.4893026493328</v>
      </c>
    </row>
    <row r="153" spans="1:19" x14ac:dyDescent="0.2">
      <c r="A153" s="161">
        <v>2</v>
      </c>
      <c r="B153" s="196">
        <f t="shared" si="45"/>
        <v>44593</v>
      </c>
      <c r="C153" s="217">
        <f t="shared" si="51"/>
        <v>44623</v>
      </c>
      <c r="D153" s="217">
        <f t="shared" si="51"/>
        <v>44642</v>
      </c>
      <c r="E153" s="225" t="s">
        <v>54</v>
      </c>
      <c r="F153" s="161">
        <v>9</v>
      </c>
      <c r="G153" s="198">
        <v>109</v>
      </c>
      <c r="H153" s="199">
        <f t="shared" si="46"/>
        <v>877.15</v>
      </c>
      <c r="I153" s="199">
        <f t="shared" si="44"/>
        <v>836.6</v>
      </c>
      <c r="J153" s="200">
        <f t="shared" si="47"/>
        <v>91189.400000000009</v>
      </c>
      <c r="K153" s="201">
        <f t="shared" si="41"/>
        <v>95609.349999999991</v>
      </c>
      <c r="L153" s="202">
        <f t="shared" si="43"/>
        <v>-4419.9499999999825</v>
      </c>
      <c r="M153" s="203">
        <f t="shared" si="48"/>
        <v>-241.36680982461587</v>
      </c>
      <c r="N153" s="204">
        <f t="shared" si="49"/>
        <v>-4661.3168098245987</v>
      </c>
      <c r="O153" s="203">
        <v>0</v>
      </c>
      <c r="P153" s="203">
        <v>0</v>
      </c>
      <c r="Q153" s="203">
        <v>0</v>
      </c>
      <c r="R153" s="204">
        <f t="shared" si="50"/>
        <v>-4661.3168098245987</v>
      </c>
    </row>
    <row r="154" spans="1:19" x14ac:dyDescent="0.2">
      <c r="A154" s="161">
        <v>3</v>
      </c>
      <c r="B154" s="196">
        <f t="shared" si="45"/>
        <v>44621</v>
      </c>
      <c r="C154" s="217">
        <f t="shared" si="51"/>
        <v>44656</v>
      </c>
      <c r="D154" s="217">
        <f t="shared" si="51"/>
        <v>44676</v>
      </c>
      <c r="E154" s="225" t="s">
        <v>54</v>
      </c>
      <c r="F154" s="161">
        <v>9</v>
      </c>
      <c r="G154" s="198">
        <v>95</v>
      </c>
      <c r="H154" s="199">
        <f t="shared" si="46"/>
        <v>877.15</v>
      </c>
      <c r="I154" s="199">
        <f t="shared" si="44"/>
        <v>836.6</v>
      </c>
      <c r="J154" s="200">
        <f t="shared" si="47"/>
        <v>79477</v>
      </c>
      <c r="K154" s="201">
        <f t="shared" si="41"/>
        <v>83329.25</v>
      </c>
      <c r="L154" s="202">
        <f>+J154-K154</f>
        <v>-3852.25</v>
      </c>
      <c r="M154" s="203">
        <f t="shared" si="48"/>
        <v>-210.36556819576614</v>
      </c>
      <c r="N154" s="204">
        <f t="shared" si="49"/>
        <v>-4062.6155681957662</v>
      </c>
      <c r="O154" s="203">
        <v>0</v>
      </c>
      <c r="P154" s="203">
        <v>0</v>
      </c>
      <c r="Q154" s="203">
        <v>0</v>
      </c>
      <c r="R154" s="204">
        <f t="shared" si="50"/>
        <v>-4062.6155681957662</v>
      </c>
    </row>
    <row r="155" spans="1:19" x14ac:dyDescent="0.2">
      <c r="A155" s="124">
        <v>4</v>
      </c>
      <c r="B155" s="196">
        <f t="shared" si="45"/>
        <v>44652</v>
      </c>
      <c r="C155" s="217">
        <f t="shared" si="51"/>
        <v>44685</v>
      </c>
      <c r="D155" s="217">
        <f t="shared" si="51"/>
        <v>44705</v>
      </c>
      <c r="E155" s="225" t="s">
        <v>54</v>
      </c>
      <c r="F155" s="161">
        <v>9</v>
      </c>
      <c r="G155" s="198">
        <v>93</v>
      </c>
      <c r="H155" s="199">
        <f t="shared" si="46"/>
        <v>877.15</v>
      </c>
      <c r="I155" s="199">
        <f t="shared" si="44"/>
        <v>836.6</v>
      </c>
      <c r="J155" s="200">
        <f t="shared" si="47"/>
        <v>77803.8</v>
      </c>
      <c r="K155" s="201">
        <f t="shared" si="41"/>
        <v>81574.95</v>
      </c>
      <c r="L155" s="202">
        <f t="shared" ref="L155:L165" si="52">+J155-K155</f>
        <v>-3771.1499999999942</v>
      </c>
      <c r="M155" s="203">
        <f t="shared" si="48"/>
        <v>-205.93681939164475</v>
      </c>
      <c r="N155" s="204">
        <f t="shared" si="49"/>
        <v>-3977.086819391639</v>
      </c>
      <c r="O155" s="203">
        <v>0</v>
      </c>
      <c r="P155" s="203">
        <v>0</v>
      </c>
      <c r="Q155" s="203">
        <v>0</v>
      </c>
      <c r="R155" s="204">
        <f t="shared" si="50"/>
        <v>-3977.086819391639</v>
      </c>
    </row>
    <row r="156" spans="1:19" x14ac:dyDescent="0.2">
      <c r="A156" s="161">
        <v>5</v>
      </c>
      <c r="B156" s="196">
        <f t="shared" si="45"/>
        <v>44682</v>
      </c>
      <c r="C156" s="217">
        <f t="shared" si="51"/>
        <v>44715</v>
      </c>
      <c r="D156" s="217">
        <f t="shared" si="51"/>
        <v>44735</v>
      </c>
      <c r="E156" s="225" t="s">
        <v>54</v>
      </c>
      <c r="F156" s="161">
        <v>9</v>
      </c>
      <c r="G156" s="198">
        <v>125</v>
      </c>
      <c r="H156" s="199">
        <f t="shared" si="46"/>
        <v>877.15</v>
      </c>
      <c r="I156" s="199">
        <f t="shared" si="44"/>
        <v>836.6</v>
      </c>
      <c r="J156" s="200">
        <f t="shared" si="47"/>
        <v>104575</v>
      </c>
      <c r="K156" s="201">
        <f t="shared" si="41"/>
        <v>109643.75</v>
      </c>
      <c r="L156" s="202">
        <f t="shared" si="52"/>
        <v>-5068.75</v>
      </c>
      <c r="M156" s="203">
        <f t="shared" si="48"/>
        <v>-276.79680025758699</v>
      </c>
      <c r="N156" s="204">
        <f t="shared" si="49"/>
        <v>-5345.5468002575872</v>
      </c>
      <c r="O156" s="203">
        <v>0</v>
      </c>
      <c r="P156" s="203">
        <v>0</v>
      </c>
      <c r="Q156" s="203">
        <v>0</v>
      </c>
      <c r="R156" s="204">
        <f t="shared" si="50"/>
        <v>-5345.5468002575872</v>
      </c>
    </row>
    <row r="157" spans="1:19" x14ac:dyDescent="0.2">
      <c r="A157" s="161">
        <v>6</v>
      </c>
      <c r="B157" s="196">
        <f t="shared" si="45"/>
        <v>44713</v>
      </c>
      <c r="C157" s="217">
        <f t="shared" si="51"/>
        <v>44747</v>
      </c>
      <c r="D157" s="217">
        <f t="shared" si="51"/>
        <v>44767</v>
      </c>
      <c r="E157" s="225" t="s">
        <v>54</v>
      </c>
      <c r="F157" s="161">
        <v>9</v>
      </c>
      <c r="G157" s="198">
        <v>159</v>
      </c>
      <c r="H157" s="199">
        <f t="shared" si="46"/>
        <v>877.15</v>
      </c>
      <c r="I157" s="199">
        <f t="shared" si="44"/>
        <v>836.6</v>
      </c>
      <c r="J157" s="200">
        <f t="shared" si="47"/>
        <v>133019.4</v>
      </c>
      <c r="K157" s="201">
        <f t="shared" si="41"/>
        <v>139466.85</v>
      </c>
      <c r="L157" s="206">
        <f t="shared" si="52"/>
        <v>-6447.4500000000116</v>
      </c>
      <c r="M157" s="203">
        <f t="shared" si="48"/>
        <v>-352.08552992765073</v>
      </c>
      <c r="N157" s="204">
        <f t="shared" si="49"/>
        <v>-6799.5355299276625</v>
      </c>
      <c r="O157" s="203">
        <v>0</v>
      </c>
      <c r="P157" s="203">
        <v>0</v>
      </c>
      <c r="Q157" s="203">
        <v>0</v>
      </c>
      <c r="R157" s="204">
        <f t="shared" si="50"/>
        <v>-6799.5355299276625</v>
      </c>
    </row>
    <row r="158" spans="1:19" x14ac:dyDescent="0.2">
      <c r="A158" s="124">
        <v>7</v>
      </c>
      <c r="B158" s="196">
        <f t="shared" si="45"/>
        <v>44743</v>
      </c>
      <c r="C158" s="217">
        <f t="shared" si="51"/>
        <v>44776</v>
      </c>
      <c r="D158" s="217">
        <f t="shared" si="51"/>
        <v>44796</v>
      </c>
      <c r="E158" s="225" t="s">
        <v>54</v>
      </c>
      <c r="F158" s="161">
        <v>9</v>
      </c>
      <c r="G158" s="198">
        <v>176</v>
      </c>
      <c r="H158" s="199">
        <f t="shared" si="46"/>
        <v>877.15</v>
      </c>
      <c r="I158" s="199">
        <f t="shared" si="44"/>
        <v>836.6</v>
      </c>
      <c r="J158" s="200">
        <f t="shared" si="47"/>
        <v>147241.60000000001</v>
      </c>
      <c r="K158" s="207">
        <f t="shared" si="41"/>
        <v>154378.4</v>
      </c>
      <c r="L158" s="206">
        <f t="shared" si="52"/>
        <v>-7136.7999999999884</v>
      </c>
      <c r="M158" s="203">
        <f t="shared" si="48"/>
        <v>-389.72989476268253</v>
      </c>
      <c r="N158" s="204">
        <f t="shared" si="49"/>
        <v>-7526.5298947626707</v>
      </c>
      <c r="O158" s="203">
        <v>0</v>
      </c>
      <c r="P158" s="203">
        <v>0</v>
      </c>
      <c r="Q158" s="203">
        <v>0</v>
      </c>
      <c r="R158" s="204">
        <f t="shared" si="50"/>
        <v>-7526.5298947626707</v>
      </c>
    </row>
    <row r="159" spans="1:19" x14ac:dyDescent="0.2">
      <c r="A159" s="161">
        <v>8</v>
      </c>
      <c r="B159" s="196">
        <f t="shared" si="45"/>
        <v>44774</v>
      </c>
      <c r="C159" s="217">
        <f t="shared" si="51"/>
        <v>44809</v>
      </c>
      <c r="D159" s="217">
        <f t="shared" si="51"/>
        <v>44827</v>
      </c>
      <c r="E159" s="225" t="s">
        <v>54</v>
      </c>
      <c r="F159" s="124">
        <v>9</v>
      </c>
      <c r="G159" s="198">
        <v>167</v>
      </c>
      <c r="H159" s="199">
        <f t="shared" si="46"/>
        <v>877.15</v>
      </c>
      <c r="I159" s="199">
        <f t="shared" si="44"/>
        <v>836.6</v>
      </c>
      <c r="J159" s="200">
        <f t="shared" si="47"/>
        <v>139712.20000000001</v>
      </c>
      <c r="K159" s="207">
        <f t="shared" si="41"/>
        <v>146484.04999999999</v>
      </c>
      <c r="L159" s="206">
        <f t="shared" si="52"/>
        <v>-6771.8499999999767</v>
      </c>
      <c r="M159" s="203">
        <f t="shared" si="48"/>
        <v>-369.80052514413632</v>
      </c>
      <c r="N159" s="204">
        <f t="shared" si="49"/>
        <v>-7141.6505251441131</v>
      </c>
      <c r="O159" s="203">
        <v>0</v>
      </c>
      <c r="P159" s="203">
        <v>0</v>
      </c>
      <c r="Q159" s="203">
        <v>0</v>
      </c>
      <c r="R159" s="204">
        <f t="shared" si="50"/>
        <v>-7141.6505251441131</v>
      </c>
      <c r="S159" s="52"/>
    </row>
    <row r="160" spans="1:19" x14ac:dyDescent="0.2">
      <c r="A160" s="161">
        <v>9</v>
      </c>
      <c r="B160" s="196">
        <f t="shared" si="45"/>
        <v>44805</v>
      </c>
      <c r="C160" s="217">
        <f t="shared" si="51"/>
        <v>44839</v>
      </c>
      <c r="D160" s="217">
        <f t="shared" si="51"/>
        <v>44859</v>
      </c>
      <c r="E160" s="225" t="s">
        <v>54</v>
      </c>
      <c r="F160" s="124">
        <v>9</v>
      </c>
      <c r="G160" s="198">
        <v>153</v>
      </c>
      <c r="H160" s="199">
        <f t="shared" si="46"/>
        <v>877.15</v>
      </c>
      <c r="I160" s="199">
        <f t="shared" si="44"/>
        <v>836.6</v>
      </c>
      <c r="J160" s="200">
        <f t="shared" si="47"/>
        <v>127999.8</v>
      </c>
      <c r="K160" s="207">
        <f t="shared" si="41"/>
        <v>134203.94999999998</v>
      </c>
      <c r="L160" s="206">
        <f t="shared" si="52"/>
        <v>-6204.1499999999796</v>
      </c>
      <c r="M160" s="203">
        <f t="shared" si="48"/>
        <v>-338.7992835152865</v>
      </c>
      <c r="N160" s="204">
        <f t="shared" si="49"/>
        <v>-6542.949283515266</v>
      </c>
      <c r="O160" s="203">
        <v>0</v>
      </c>
      <c r="P160" s="203">
        <v>0</v>
      </c>
      <c r="Q160" s="203">
        <v>0</v>
      </c>
      <c r="R160" s="204">
        <f t="shared" si="50"/>
        <v>-6542.949283515266</v>
      </c>
    </row>
    <row r="161" spans="1:19" x14ac:dyDescent="0.2">
      <c r="A161" s="124">
        <v>10</v>
      </c>
      <c r="B161" s="196">
        <f t="shared" si="45"/>
        <v>44835</v>
      </c>
      <c r="C161" s="217">
        <f t="shared" si="51"/>
        <v>44868</v>
      </c>
      <c r="D161" s="217">
        <f t="shared" si="51"/>
        <v>44888</v>
      </c>
      <c r="E161" s="225" t="s">
        <v>54</v>
      </c>
      <c r="F161" s="124">
        <v>9</v>
      </c>
      <c r="G161" s="198">
        <v>104</v>
      </c>
      <c r="H161" s="199">
        <f t="shared" si="46"/>
        <v>877.15</v>
      </c>
      <c r="I161" s="199">
        <f t="shared" si="44"/>
        <v>836.6</v>
      </c>
      <c r="J161" s="200">
        <f t="shared" si="47"/>
        <v>87006.400000000009</v>
      </c>
      <c r="K161" s="207">
        <f t="shared" si="41"/>
        <v>91223.599999999991</v>
      </c>
      <c r="L161" s="206">
        <f t="shared" si="52"/>
        <v>-4217.1999999999825</v>
      </c>
      <c r="M161" s="203">
        <f t="shared" si="48"/>
        <v>-230.29493781431239</v>
      </c>
      <c r="N161" s="204">
        <f t="shared" si="49"/>
        <v>-4447.4949378142946</v>
      </c>
      <c r="O161" s="203">
        <v>0</v>
      </c>
      <c r="P161" s="203">
        <v>0</v>
      </c>
      <c r="Q161" s="203">
        <v>0</v>
      </c>
      <c r="R161" s="204">
        <f t="shared" si="50"/>
        <v>-4447.4949378142946</v>
      </c>
    </row>
    <row r="162" spans="1:19" x14ac:dyDescent="0.2">
      <c r="A162" s="161">
        <v>11</v>
      </c>
      <c r="B162" s="196">
        <f t="shared" si="45"/>
        <v>44866</v>
      </c>
      <c r="C162" s="217">
        <f t="shared" si="51"/>
        <v>44900</v>
      </c>
      <c r="D162" s="217">
        <f t="shared" si="51"/>
        <v>44918</v>
      </c>
      <c r="E162" s="225" t="s">
        <v>54</v>
      </c>
      <c r="F162" s="124">
        <v>9</v>
      </c>
      <c r="G162" s="198">
        <v>104</v>
      </c>
      <c r="H162" s="199">
        <f t="shared" si="46"/>
        <v>877.15</v>
      </c>
      <c r="I162" s="199">
        <f t="shared" si="44"/>
        <v>836.6</v>
      </c>
      <c r="J162" s="200">
        <f t="shared" si="47"/>
        <v>87006.400000000009</v>
      </c>
      <c r="K162" s="207">
        <f t="shared" si="41"/>
        <v>91223.599999999991</v>
      </c>
      <c r="L162" s="206">
        <f t="shared" si="52"/>
        <v>-4217.1999999999825</v>
      </c>
      <c r="M162" s="203">
        <f t="shared" si="48"/>
        <v>-230.29493781431239</v>
      </c>
      <c r="N162" s="204">
        <f t="shared" si="49"/>
        <v>-4447.4949378142946</v>
      </c>
      <c r="O162" s="203">
        <v>0</v>
      </c>
      <c r="P162" s="203">
        <v>0</v>
      </c>
      <c r="Q162" s="203">
        <v>0</v>
      </c>
      <c r="R162" s="204">
        <f t="shared" si="50"/>
        <v>-4447.4949378142946</v>
      </c>
    </row>
    <row r="163" spans="1:19" s="221" customFormat="1" x14ac:dyDescent="0.2">
      <c r="A163" s="161">
        <v>12</v>
      </c>
      <c r="B163" s="219">
        <f t="shared" si="45"/>
        <v>44896</v>
      </c>
      <c r="C163" s="217">
        <f t="shared" si="51"/>
        <v>44930</v>
      </c>
      <c r="D163" s="217">
        <f t="shared" si="51"/>
        <v>44950</v>
      </c>
      <c r="E163" s="226" t="s">
        <v>54</v>
      </c>
      <c r="F163" s="172">
        <v>9</v>
      </c>
      <c r="G163" s="208">
        <v>139</v>
      </c>
      <c r="H163" s="209">
        <f t="shared" si="46"/>
        <v>877.15</v>
      </c>
      <c r="I163" s="209">
        <f t="shared" si="44"/>
        <v>836.6</v>
      </c>
      <c r="J163" s="210">
        <f t="shared" si="47"/>
        <v>116287.40000000001</v>
      </c>
      <c r="K163" s="211">
        <f t="shared" si="41"/>
        <v>121923.84999999999</v>
      </c>
      <c r="L163" s="212">
        <f t="shared" si="52"/>
        <v>-5636.4499999999825</v>
      </c>
      <c r="M163" s="210">
        <f t="shared" si="48"/>
        <v>-307.79804188643681</v>
      </c>
      <c r="N163" s="235">
        <f t="shared" si="49"/>
        <v>-5944.2480418864197</v>
      </c>
      <c r="O163" s="210">
        <v>0</v>
      </c>
      <c r="P163" s="210">
        <v>0</v>
      </c>
      <c r="Q163" s="210">
        <v>0</v>
      </c>
      <c r="R163" s="235">
        <f t="shared" si="50"/>
        <v>-5944.2480418864197</v>
      </c>
    </row>
    <row r="164" spans="1:19" x14ac:dyDescent="0.2">
      <c r="A164" s="124">
        <v>1</v>
      </c>
      <c r="B164" s="196">
        <f t="shared" si="45"/>
        <v>44562</v>
      </c>
      <c r="C164" s="214">
        <f t="shared" si="51"/>
        <v>44595</v>
      </c>
      <c r="D164" s="214">
        <f t="shared" si="51"/>
        <v>44615</v>
      </c>
      <c r="E164" s="224" t="s">
        <v>55</v>
      </c>
      <c r="F164" s="124">
        <v>9</v>
      </c>
      <c r="G164" s="198">
        <v>8</v>
      </c>
      <c r="H164" s="199">
        <f t="shared" si="46"/>
        <v>877.15</v>
      </c>
      <c r="I164" s="199">
        <f t="shared" si="44"/>
        <v>836.6</v>
      </c>
      <c r="J164" s="200">
        <f t="shared" si="47"/>
        <v>6692.8</v>
      </c>
      <c r="K164" s="201">
        <f t="shared" si="41"/>
        <v>7017.2</v>
      </c>
      <c r="L164" s="202">
        <f t="shared" si="52"/>
        <v>-324.39999999999964</v>
      </c>
      <c r="M164" s="203">
        <f t="shared" si="48"/>
        <v>-17.714995216485573</v>
      </c>
      <c r="N164" s="204">
        <f t="shared" si="49"/>
        <v>-342.11499521648523</v>
      </c>
      <c r="O164" s="203">
        <v>0</v>
      </c>
      <c r="P164" s="203">
        <v>0</v>
      </c>
      <c r="Q164" s="203">
        <v>0</v>
      </c>
      <c r="R164" s="204">
        <f t="shared" si="50"/>
        <v>-342.11499521648523</v>
      </c>
    </row>
    <row r="165" spans="1:19" x14ac:dyDescent="0.2">
      <c r="A165" s="161">
        <v>2</v>
      </c>
      <c r="B165" s="196">
        <f t="shared" si="45"/>
        <v>44593</v>
      </c>
      <c r="C165" s="217">
        <f t="shared" si="51"/>
        <v>44623</v>
      </c>
      <c r="D165" s="217">
        <f t="shared" si="51"/>
        <v>44642</v>
      </c>
      <c r="E165" s="225" t="s">
        <v>55</v>
      </c>
      <c r="F165" s="161">
        <v>9</v>
      </c>
      <c r="G165" s="198">
        <v>11</v>
      </c>
      <c r="H165" s="199">
        <f t="shared" si="46"/>
        <v>877.15</v>
      </c>
      <c r="I165" s="199">
        <f t="shared" si="44"/>
        <v>836.6</v>
      </c>
      <c r="J165" s="200">
        <f t="shared" si="47"/>
        <v>9202.6</v>
      </c>
      <c r="K165" s="201">
        <f t="shared" si="41"/>
        <v>9648.65</v>
      </c>
      <c r="L165" s="202">
        <f t="shared" si="52"/>
        <v>-446.04999999999927</v>
      </c>
      <c r="M165" s="203">
        <f t="shared" si="48"/>
        <v>-24.358118422667658</v>
      </c>
      <c r="N165" s="204">
        <f t="shared" si="49"/>
        <v>-470.40811842266692</v>
      </c>
      <c r="O165" s="203">
        <v>0</v>
      </c>
      <c r="P165" s="203">
        <v>0</v>
      </c>
      <c r="Q165" s="203">
        <v>0</v>
      </c>
      <c r="R165" s="204">
        <f t="shared" si="50"/>
        <v>-470.40811842266692</v>
      </c>
    </row>
    <row r="166" spans="1:19" x14ac:dyDescent="0.2">
      <c r="A166" s="161">
        <v>3</v>
      </c>
      <c r="B166" s="196">
        <f t="shared" si="45"/>
        <v>44621</v>
      </c>
      <c r="C166" s="217">
        <f t="shared" si="51"/>
        <v>44656</v>
      </c>
      <c r="D166" s="217">
        <f t="shared" si="51"/>
        <v>44676</v>
      </c>
      <c r="E166" s="225" t="s">
        <v>55</v>
      </c>
      <c r="F166" s="161">
        <v>9</v>
      </c>
      <c r="G166" s="198">
        <v>9</v>
      </c>
      <c r="H166" s="199">
        <f t="shared" si="46"/>
        <v>877.15</v>
      </c>
      <c r="I166" s="199">
        <f t="shared" si="44"/>
        <v>836.6</v>
      </c>
      <c r="J166" s="200">
        <f t="shared" si="47"/>
        <v>7529.4000000000005</v>
      </c>
      <c r="K166" s="201">
        <f t="shared" si="41"/>
        <v>7894.3499999999995</v>
      </c>
      <c r="L166" s="202">
        <f>+J166-K166</f>
        <v>-364.94999999999891</v>
      </c>
      <c r="M166" s="203">
        <f t="shared" si="48"/>
        <v>-19.929369618546268</v>
      </c>
      <c r="N166" s="204">
        <f t="shared" si="49"/>
        <v>-384.87936961854518</v>
      </c>
      <c r="O166" s="203">
        <v>0</v>
      </c>
      <c r="P166" s="203">
        <v>0</v>
      </c>
      <c r="Q166" s="203">
        <v>0</v>
      </c>
      <c r="R166" s="204">
        <f t="shared" si="50"/>
        <v>-384.87936961854518</v>
      </c>
    </row>
    <row r="167" spans="1:19" x14ac:dyDescent="0.2">
      <c r="A167" s="124">
        <v>4</v>
      </c>
      <c r="B167" s="196">
        <f t="shared" si="45"/>
        <v>44652</v>
      </c>
      <c r="C167" s="217">
        <f t="shared" si="51"/>
        <v>44685</v>
      </c>
      <c r="D167" s="217">
        <f t="shared" si="51"/>
        <v>44705</v>
      </c>
      <c r="E167" s="225" t="s">
        <v>55</v>
      </c>
      <c r="F167" s="161">
        <v>9</v>
      </c>
      <c r="G167" s="198">
        <v>11</v>
      </c>
      <c r="H167" s="199">
        <f t="shared" si="46"/>
        <v>877.15</v>
      </c>
      <c r="I167" s="199">
        <f t="shared" si="44"/>
        <v>836.6</v>
      </c>
      <c r="J167" s="200">
        <f t="shared" si="47"/>
        <v>9202.6</v>
      </c>
      <c r="K167" s="201">
        <f t="shared" si="41"/>
        <v>9648.65</v>
      </c>
      <c r="L167" s="202">
        <f t="shared" ref="L167:L177" si="53">+J167-K167</f>
        <v>-446.04999999999927</v>
      </c>
      <c r="M167" s="203">
        <f t="shared" si="48"/>
        <v>-24.358118422667658</v>
      </c>
      <c r="N167" s="204">
        <f t="shared" si="49"/>
        <v>-470.40811842266692</v>
      </c>
      <c r="O167" s="203">
        <v>0</v>
      </c>
      <c r="P167" s="203">
        <v>0</v>
      </c>
      <c r="Q167" s="203">
        <v>0</v>
      </c>
      <c r="R167" s="204">
        <f t="shared" si="50"/>
        <v>-470.40811842266692</v>
      </c>
    </row>
    <row r="168" spans="1:19" x14ac:dyDescent="0.2">
      <c r="A168" s="161">
        <v>5</v>
      </c>
      <c r="B168" s="196">
        <f t="shared" si="45"/>
        <v>44682</v>
      </c>
      <c r="C168" s="217">
        <f t="shared" si="51"/>
        <v>44715</v>
      </c>
      <c r="D168" s="217">
        <f t="shared" si="51"/>
        <v>44735</v>
      </c>
      <c r="E168" s="225" t="s">
        <v>55</v>
      </c>
      <c r="F168" s="161">
        <v>9</v>
      </c>
      <c r="G168" s="198">
        <v>11</v>
      </c>
      <c r="H168" s="199">
        <f t="shared" si="46"/>
        <v>877.15</v>
      </c>
      <c r="I168" s="199">
        <f t="shared" si="44"/>
        <v>836.6</v>
      </c>
      <c r="J168" s="200">
        <f t="shared" si="47"/>
        <v>9202.6</v>
      </c>
      <c r="K168" s="201">
        <f t="shared" si="41"/>
        <v>9648.65</v>
      </c>
      <c r="L168" s="202">
        <f t="shared" si="53"/>
        <v>-446.04999999999927</v>
      </c>
      <c r="M168" s="203">
        <f t="shared" si="48"/>
        <v>-24.358118422667658</v>
      </c>
      <c r="N168" s="204">
        <f t="shared" si="49"/>
        <v>-470.40811842266692</v>
      </c>
      <c r="O168" s="203">
        <v>0</v>
      </c>
      <c r="P168" s="203">
        <v>0</v>
      </c>
      <c r="Q168" s="203">
        <v>0</v>
      </c>
      <c r="R168" s="204">
        <f t="shared" si="50"/>
        <v>-470.40811842266692</v>
      </c>
    </row>
    <row r="169" spans="1:19" x14ac:dyDescent="0.2">
      <c r="A169" s="161">
        <v>6</v>
      </c>
      <c r="B169" s="196">
        <f t="shared" si="45"/>
        <v>44713</v>
      </c>
      <c r="C169" s="217">
        <f t="shared" si="51"/>
        <v>44747</v>
      </c>
      <c r="D169" s="217">
        <f t="shared" si="51"/>
        <v>44767</v>
      </c>
      <c r="E169" s="225" t="s">
        <v>55</v>
      </c>
      <c r="F169" s="161">
        <v>9</v>
      </c>
      <c r="G169" s="198">
        <v>14</v>
      </c>
      <c r="H169" s="199">
        <f t="shared" si="46"/>
        <v>877.15</v>
      </c>
      <c r="I169" s="199">
        <f t="shared" si="44"/>
        <v>836.6</v>
      </c>
      <c r="J169" s="200">
        <f t="shared" si="47"/>
        <v>11712.4</v>
      </c>
      <c r="K169" s="201">
        <f t="shared" si="41"/>
        <v>12280.1</v>
      </c>
      <c r="L169" s="206">
        <f t="shared" si="53"/>
        <v>-567.70000000000073</v>
      </c>
      <c r="M169" s="203">
        <f t="shared" si="48"/>
        <v>-31.001241628849744</v>
      </c>
      <c r="N169" s="204">
        <f t="shared" si="49"/>
        <v>-598.70124162885043</v>
      </c>
      <c r="O169" s="203">
        <v>0</v>
      </c>
      <c r="P169" s="203">
        <v>0</v>
      </c>
      <c r="Q169" s="203">
        <v>0</v>
      </c>
      <c r="R169" s="204">
        <f t="shared" si="50"/>
        <v>-598.70124162885043</v>
      </c>
    </row>
    <row r="170" spans="1:19" x14ac:dyDescent="0.2">
      <c r="A170" s="124">
        <v>7</v>
      </c>
      <c r="B170" s="196">
        <f t="shared" si="45"/>
        <v>44743</v>
      </c>
      <c r="C170" s="217">
        <f t="shared" si="51"/>
        <v>44776</v>
      </c>
      <c r="D170" s="217">
        <f t="shared" si="51"/>
        <v>44796</v>
      </c>
      <c r="E170" s="225" t="s">
        <v>55</v>
      </c>
      <c r="F170" s="161">
        <v>9</v>
      </c>
      <c r="G170" s="198">
        <v>13</v>
      </c>
      <c r="H170" s="199">
        <f t="shared" si="46"/>
        <v>877.15</v>
      </c>
      <c r="I170" s="199">
        <f t="shared" si="44"/>
        <v>836.6</v>
      </c>
      <c r="J170" s="200">
        <f t="shared" si="47"/>
        <v>10875.800000000001</v>
      </c>
      <c r="K170" s="207">
        <f t="shared" si="41"/>
        <v>11402.949999999999</v>
      </c>
      <c r="L170" s="206">
        <f t="shared" si="53"/>
        <v>-527.14999999999782</v>
      </c>
      <c r="M170" s="203">
        <f t="shared" si="48"/>
        <v>-28.786867226789049</v>
      </c>
      <c r="N170" s="204">
        <f t="shared" si="49"/>
        <v>-555.93686722678683</v>
      </c>
      <c r="O170" s="203">
        <v>0</v>
      </c>
      <c r="P170" s="203">
        <v>0</v>
      </c>
      <c r="Q170" s="203">
        <v>0</v>
      </c>
      <c r="R170" s="204">
        <f t="shared" si="50"/>
        <v>-555.93686722678683</v>
      </c>
    </row>
    <row r="171" spans="1:19" x14ac:dyDescent="0.2">
      <c r="A171" s="161">
        <v>8</v>
      </c>
      <c r="B171" s="196">
        <f t="shared" si="45"/>
        <v>44774</v>
      </c>
      <c r="C171" s="217">
        <f t="shared" si="51"/>
        <v>44809</v>
      </c>
      <c r="D171" s="217">
        <f t="shared" si="51"/>
        <v>44827</v>
      </c>
      <c r="E171" s="225" t="s">
        <v>55</v>
      </c>
      <c r="F171" s="124">
        <v>9</v>
      </c>
      <c r="G171" s="198">
        <v>13</v>
      </c>
      <c r="H171" s="199">
        <f t="shared" si="46"/>
        <v>877.15</v>
      </c>
      <c r="I171" s="199">
        <f t="shared" si="44"/>
        <v>836.6</v>
      </c>
      <c r="J171" s="200">
        <f t="shared" si="47"/>
        <v>10875.800000000001</v>
      </c>
      <c r="K171" s="207">
        <f t="shared" si="41"/>
        <v>11402.949999999999</v>
      </c>
      <c r="L171" s="206">
        <f t="shared" si="53"/>
        <v>-527.14999999999782</v>
      </c>
      <c r="M171" s="203">
        <f t="shared" si="48"/>
        <v>-28.786867226789049</v>
      </c>
      <c r="N171" s="204">
        <f t="shared" si="49"/>
        <v>-555.93686722678683</v>
      </c>
      <c r="O171" s="203">
        <v>0</v>
      </c>
      <c r="P171" s="203">
        <v>0</v>
      </c>
      <c r="Q171" s="203">
        <v>0</v>
      </c>
      <c r="R171" s="204">
        <f t="shared" si="50"/>
        <v>-555.93686722678683</v>
      </c>
      <c r="S171" s="52"/>
    </row>
    <row r="172" spans="1:19" x14ac:dyDescent="0.2">
      <c r="A172" s="161">
        <v>9</v>
      </c>
      <c r="B172" s="196">
        <f t="shared" si="45"/>
        <v>44805</v>
      </c>
      <c r="C172" s="217">
        <f t="shared" ref="C172:D175" si="54">+C160</f>
        <v>44839</v>
      </c>
      <c r="D172" s="217">
        <f t="shared" si="54"/>
        <v>44859</v>
      </c>
      <c r="E172" s="225" t="s">
        <v>55</v>
      </c>
      <c r="F172" s="124">
        <v>9</v>
      </c>
      <c r="G172" s="198">
        <v>13</v>
      </c>
      <c r="H172" s="199">
        <f t="shared" si="46"/>
        <v>877.15</v>
      </c>
      <c r="I172" s="199">
        <f t="shared" si="44"/>
        <v>836.6</v>
      </c>
      <c r="J172" s="200">
        <f t="shared" si="47"/>
        <v>10875.800000000001</v>
      </c>
      <c r="K172" s="207">
        <f t="shared" si="41"/>
        <v>11402.949999999999</v>
      </c>
      <c r="L172" s="206">
        <f t="shared" si="53"/>
        <v>-527.14999999999782</v>
      </c>
      <c r="M172" s="203">
        <f t="shared" si="48"/>
        <v>-28.786867226789049</v>
      </c>
      <c r="N172" s="204">
        <f t="shared" si="49"/>
        <v>-555.93686722678683</v>
      </c>
      <c r="O172" s="203">
        <v>0</v>
      </c>
      <c r="P172" s="203">
        <v>0</v>
      </c>
      <c r="Q172" s="203">
        <v>0</v>
      </c>
      <c r="R172" s="204">
        <f t="shared" si="50"/>
        <v>-555.93686722678683</v>
      </c>
    </row>
    <row r="173" spans="1:19" x14ac:dyDescent="0.2">
      <c r="A173" s="124">
        <v>10</v>
      </c>
      <c r="B173" s="196">
        <f t="shared" si="45"/>
        <v>44835</v>
      </c>
      <c r="C173" s="217">
        <f t="shared" si="54"/>
        <v>44868</v>
      </c>
      <c r="D173" s="217">
        <f t="shared" si="54"/>
        <v>44888</v>
      </c>
      <c r="E173" s="225" t="s">
        <v>55</v>
      </c>
      <c r="F173" s="124">
        <v>9</v>
      </c>
      <c r="G173" s="198">
        <v>10</v>
      </c>
      <c r="H173" s="199">
        <f t="shared" si="46"/>
        <v>877.15</v>
      </c>
      <c r="I173" s="199">
        <f t="shared" si="44"/>
        <v>836.6</v>
      </c>
      <c r="J173" s="200">
        <f t="shared" si="47"/>
        <v>8366</v>
      </c>
      <c r="K173" s="207">
        <f t="shared" si="41"/>
        <v>8771.5</v>
      </c>
      <c r="L173" s="206">
        <f t="shared" si="53"/>
        <v>-405.5</v>
      </c>
      <c r="M173" s="203">
        <f t="shared" si="48"/>
        <v>-22.143744020606963</v>
      </c>
      <c r="N173" s="204">
        <f t="shared" si="49"/>
        <v>-427.64374402060696</v>
      </c>
      <c r="O173" s="203">
        <v>0</v>
      </c>
      <c r="P173" s="203">
        <v>0</v>
      </c>
      <c r="Q173" s="203">
        <v>0</v>
      </c>
      <c r="R173" s="204">
        <f t="shared" si="50"/>
        <v>-427.64374402060696</v>
      </c>
    </row>
    <row r="174" spans="1:19" x14ac:dyDescent="0.2">
      <c r="A174" s="161">
        <v>11</v>
      </c>
      <c r="B174" s="196">
        <f t="shared" si="45"/>
        <v>44866</v>
      </c>
      <c r="C174" s="217">
        <f t="shared" si="54"/>
        <v>44900</v>
      </c>
      <c r="D174" s="217">
        <f t="shared" si="54"/>
        <v>44918</v>
      </c>
      <c r="E174" s="225" t="s">
        <v>55</v>
      </c>
      <c r="F174" s="124">
        <v>9</v>
      </c>
      <c r="G174" s="198">
        <v>9</v>
      </c>
      <c r="H174" s="199">
        <f t="shared" si="46"/>
        <v>877.15</v>
      </c>
      <c r="I174" s="199">
        <f t="shared" si="44"/>
        <v>836.6</v>
      </c>
      <c r="J174" s="200">
        <f t="shared" si="47"/>
        <v>7529.4000000000005</v>
      </c>
      <c r="K174" s="207">
        <f t="shared" si="41"/>
        <v>7894.3499999999995</v>
      </c>
      <c r="L174" s="206">
        <f t="shared" si="53"/>
        <v>-364.94999999999891</v>
      </c>
      <c r="M174" s="203">
        <f t="shared" si="48"/>
        <v>-19.929369618546268</v>
      </c>
      <c r="N174" s="204">
        <f t="shared" si="49"/>
        <v>-384.87936961854518</v>
      </c>
      <c r="O174" s="203">
        <v>0</v>
      </c>
      <c r="P174" s="203">
        <v>0</v>
      </c>
      <c r="Q174" s="203">
        <v>0</v>
      </c>
      <c r="R174" s="204">
        <f t="shared" si="50"/>
        <v>-384.87936961854518</v>
      </c>
    </row>
    <row r="175" spans="1:19" s="221" customFormat="1" x14ac:dyDescent="0.2">
      <c r="A175" s="161">
        <v>12</v>
      </c>
      <c r="B175" s="219">
        <f t="shared" si="45"/>
        <v>44896</v>
      </c>
      <c r="C175" s="217">
        <f t="shared" si="54"/>
        <v>44930</v>
      </c>
      <c r="D175" s="217">
        <f t="shared" si="54"/>
        <v>44950</v>
      </c>
      <c r="E175" s="226" t="s">
        <v>55</v>
      </c>
      <c r="F175" s="172">
        <v>9</v>
      </c>
      <c r="G175" s="208">
        <v>9</v>
      </c>
      <c r="H175" s="209">
        <f t="shared" si="46"/>
        <v>877.15</v>
      </c>
      <c r="I175" s="209">
        <f t="shared" si="44"/>
        <v>836.6</v>
      </c>
      <c r="J175" s="210">
        <f t="shared" si="47"/>
        <v>7529.4000000000005</v>
      </c>
      <c r="K175" s="211">
        <f t="shared" si="41"/>
        <v>7894.3499999999995</v>
      </c>
      <c r="L175" s="212">
        <f t="shared" si="53"/>
        <v>-364.94999999999891</v>
      </c>
      <c r="M175" s="210">
        <f t="shared" si="48"/>
        <v>-19.929369618546268</v>
      </c>
      <c r="N175" s="235">
        <f t="shared" si="49"/>
        <v>-384.87936961854518</v>
      </c>
      <c r="O175" s="210">
        <v>0</v>
      </c>
      <c r="P175" s="210">
        <v>0</v>
      </c>
      <c r="Q175" s="210">
        <v>0</v>
      </c>
      <c r="R175" s="235">
        <f t="shared" si="50"/>
        <v>-384.87936961854518</v>
      </c>
    </row>
    <row r="176" spans="1:19" x14ac:dyDescent="0.2">
      <c r="A176" s="124">
        <v>1</v>
      </c>
      <c r="B176" s="196">
        <f t="shared" si="45"/>
        <v>44562</v>
      </c>
      <c r="C176" s="214">
        <f t="shared" ref="C176:D187" si="55">+C152</f>
        <v>44595</v>
      </c>
      <c r="D176" s="214">
        <f t="shared" si="55"/>
        <v>44615</v>
      </c>
      <c r="E176" s="224" t="s">
        <v>56</v>
      </c>
      <c r="F176" s="161">
        <v>9</v>
      </c>
      <c r="G176" s="198">
        <v>22</v>
      </c>
      <c r="H176" s="199">
        <f t="shared" si="46"/>
        <v>877.15</v>
      </c>
      <c r="I176" s="199">
        <f t="shared" si="44"/>
        <v>836.6</v>
      </c>
      <c r="J176" s="200">
        <f t="shared" si="47"/>
        <v>18405.2</v>
      </c>
      <c r="K176" s="201">
        <f t="shared" si="41"/>
        <v>19297.3</v>
      </c>
      <c r="L176" s="202">
        <f t="shared" si="53"/>
        <v>-892.09999999999854</v>
      </c>
      <c r="M176" s="203">
        <f t="shared" si="48"/>
        <v>-48.716236845335317</v>
      </c>
      <c r="N176" s="204">
        <f t="shared" si="49"/>
        <v>-940.81623684533383</v>
      </c>
      <c r="O176" s="203">
        <v>0</v>
      </c>
      <c r="P176" s="203">
        <v>0</v>
      </c>
      <c r="Q176" s="203">
        <v>0</v>
      </c>
      <c r="R176" s="204">
        <f t="shared" si="50"/>
        <v>-940.81623684533383</v>
      </c>
    </row>
    <row r="177" spans="1:18" x14ac:dyDescent="0.2">
      <c r="A177" s="161">
        <v>2</v>
      </c>
      <c r="B177" s="196">
        <f t="shared" si="45"/>
        <v>44593</v>
      </c>
      <c r="C177" s="217">
        <f t="shared" si="55"/>
        <v>44623</v>
      </c>
      <c r="D177" s="217">
        <f t="shared" si="55"/>
        <v>44642</v>
      </c>
      <c r="E177" s="54" t="s">
        <v>56</v>
      </c>
      <c r="F177" s="161">
        <v>9</v>
      </c>
      <c r="G177" s="198">
        <v>22</v>
      </c>
      <c r="H177" s="199">
        <f t="shared" si="46"/>
        <v>877.15</v>
      </c>
      <c r="I177" s="199">
        <f t="shared" si="44"/>
        <v>836.6</v>
      </c>
      <c r="J177" s="200">
        <f t="shared" si="47"/>
        <v>18405.2</v>
      </c>
      <c r="K177" s="201">
        <f t="shared" si="41"/>
        <v>19297.3</v>
      </c>
      <c r="L177" s="202">
        <f t="shared" si="53"/>
        <v>-892.09999999999854</v>
      </c>
      <c r="M177" s="203">
        <f t="shared" si="48"/>
        <v>-48.716236845335317</v>
      </c>
      <c r="N177" s="204">
        <f t="shared" si="49"/>
        <v>-940.81623684533383</v>
      </c>
      <c r="O177" s="203">
        <v>0</v>
      </c>
      <c r="P177" s="203">
        <v>0</v>
      </c>
      <c r="Q177" s="203">
        <v>0</v>
      </c>
      <c r="R177" s="204">
        <f t="shared" si="50"/>
        <v>-940.81623684533383</v>
      </c>
    </row>
    <row r="178" spans="1:18" x14ac:dyDescent="0.2">
      <c r="A178" s="161">
        <v>3</v>
      </c>
      <c r="B178" s="196">
        <f t="shared" si="45"/>
        <v>44621</v>
      </c>
      <c r="C178" s="217">
        <f t="shared" si="55"/>
        <v>44656</v>
      </c>
      <c r="D178" s="217">
        <f t="shared" si="55"/>
        <v>44676</v>
      </c>
      <c r="E178" s="54" t="s">
        <v>56</v>
      </c>
      <c r="F178" s="161">
        <v>9</v>
      </c>
      <c r="G178" s="198">
        <v>18</v>
      </c>
      <c r="H178" s="199">
        <f t="shared" si="46"/>
        <v>877.15</v>
      </c>
      <c r="I178" s="199">
        <f t="shared" si="44"/>
        <v>836.6</v>
      </c>
      <c r="J178" s="200">
        <f t="shared" si="47"/>
        <v>15058.800000000001</v>
      </c>
      <c r="K178" s="201">
        <f t="shared" si="41"/>
        <v>15788.699999999999</v>
      </c>
      <c r="L178" s="202">
        <f>+J178-K178</f>
        <v>-729.89999999999782</v>
      </c>
      <c r="M178" s="203">
        <f t="shared" si="48"/>
        <v>-39.858739237092536</v>
      </c>
      <c r="N178" s="204">
        <f t="shared" si="49"/>
        <v>-769.75873923709037</v>
      </c>
      <c r="O178" s="203">
        <v>0</v>
      </c>
      <c r="P178" s="203">
        <v>0</v>
      </c>
      <c r="Q178" s="203">
        <v>0</v>
      </c>
      <c r="R178" s="204">
        <f t="shared" si="50"/>
        <v>-769.75873923709037</v>
      </c>
    </row>
    <row r="179" spans="1:18" x14ac:dyDescent="0.2">
      <c r="A179" s="124">
        <v>4</v>
      </c>
      <c r="B179" s="196">
        <f t="shared" si="45"/>
        <v>44652</v>
      </c>
      <c r="C179" s="217">
        <f t="shared" si="55"/>
        <v>44685</v>
      </c>
      <c r="D179" s="217">
        <f t="shared" si="55"/>
        <v>44705</v>
      </c>
      <c r="E179" s="54" t="s">
        <v>56</v>
      </c>
      <c r="F179" s="161">
        <v>9</v>
      </c>
      <c r="G179" s="198">
        <v>21</v>
      </c>
      <c r="H179" s="199">
        <f t="shared" si="46"/>
        <v>877.15</v>
      </c>
      <c r="I179" s="199">
        <f t="shared" si="44"/>
        <v>836.6</v>
      </c>
      <c r="J179" s="200">
        <f t="shared" si="47"/>
        <v>17568.600000000002</v>
      </c>
      <c r="K179" s="201">
        <f t="shared" si="41"/>
        <v>18420.149999999998</v>
      </c>
      <c r="L179" s="202">
        <f t="shared" ref="L179:L189" si="56">+J179-K179</f>
        <v>-851.54999999999563</v>
      </c>
      <c r="M179" s="203">
        <f t="shared" si="48"/>
        <v>-46.501862443274625</v>
      </c>
      <c r="N179" s="204">
        <f t="shared" si="49"/>
        <v>-898.05186244327024</v>
      </c>
      <c r="O179" s="203">
        <v>0</v>
      </c>
      <c r="P179" s="203">
        <v>0</v>
      </c>
      <c r="Q179" s="203">
        <v>0</v>
      </c>
      <c r="R179" s="204">
        <f t="shared" si="50"/>
        <v>-898.05186244327024</v>
      </c>
    </row>
    <row r="180" spans="1:18" x14ac:dyDescent="0.2">
      <c r="A180" s="161">
        <v>5</v>
      </c>
      <c r="B180" s="196">
        <f t="shared" si="45"/>
        <v>44682</v>
      </c>
      <c r="C180" s="217">
        <f t="shared" si="55"/>
        <v>44715</v>
      </c>
      <c r="D180" s="217">
        <f t="shared" si="55"/>
        <v>44735</v>
      </c>
      <c r="E180" s="54" t="s">
        <v>56</v>
      </c>
      <c r="F180" s="161">
        <v>9</v>
      </c>
      <c r="G180" s="198">
        <v>31</v>
      </c>
      <c r="H180" s="199">
        <f t="shared" si="46"/>
        <v>877.15</v>
      </c>
      <c r="I180" s="199">
        <f t="shared" ref="I180:I211" si="57">$J$3</f>
        <v>836.6</v>
      </c>
      <c r="J180" s="200">
        <f t="shared" si="47"/>
        <v>25934.600000000002</v>
      </c>
      <c r="K180" s="201">
        <f t="shared" si="41"/>
        <v>27191.649999999998</v>
      </c>
      <c r="L180" s="202">
        <f t="shared" si="56"/>
        <v>-1257.0499999999956</v>
      </c>
      <c r="M180" s="203">
        <f t="shared" si="48"/>
        <v>-68.645606463881577</v>
      </c>
      <c r="N180" s="204">
        <f t="shared" si="49"/>
        <v>-1325.6956064638773</v>
      </c>
      <c r="O180" s="203">
        <v>0</v>
      </c>
      <c r="P180" s="203">
        <v>0</v>
      </c>
      <c r="Q180" s="203">
        <v>0</v>
      </c>
      <c r="R180" s="204">
        <f t="shared" si="50"/>
        <v>-1325.6956064638773</v>
      </c>
    </row>
    <row r="181" spans="1:18" x14ac:dyDescent="0.2">
      <c r="A181" s="161">
        <v>6</v>
      </c>
      <c r="B181" s="196">
        <f t="shared" si="45"/>
        <v>44713</v>
      </c>
      <c r="C181" s="217">
        <f t="shared" si="55"/>
        <v>44747</v>
      </c>
      <c r="D181" s="217">
        <f t="shared" si="55"/>
        <v>44767</v>
      </c>
      <c r="E181" s="54" t="s">
        <v>56</v>
      </c>
      <c r="F181" s="161">
        <v>9</v>
      </c>
      <c r="G181" s="198">
        <v>38</v>
      </c>
      <c r="H181" s="199">
        <f t="shared" si="46"/>
        <v>877.15</v>
      </c>
      <c r="I181" s="199">
        <f t="shared" si="57"/>
        <v>836.6</v>
      </c>
      <c r="J181" s="200">
        <f t="shared" si="47"/>
        <v>31790.799999999999</v>
      </c>
      <c r="K181" s="201">
        <f t="shared" si="41"/>
        <v>33331.699999999997</v>
      </c>
      <c r="L181" s="206">
        <f t="shared" si="56"/>
        <v>-1540.8999999999978</v>
      </c>
      <c r="M181" s="203">
        <f t="shared" si="48"/>
        <v>-84.146227278306455</v>
      </c>
      <c r="N181" s="204">
        <f t="shared" si="49"/>
        <v>-1625.0462272783043</v>
      </c>
      <c r="O181" s="203">
        <v>0</v>
      </c>
      <c r="P181" s="203">
        <v>0</v>
      </c>
      <c r="Q181" s="203">
        <v>0</v>
      </c>
      <c r="R181" s="204">
        <f t="shared" si="50"/>
        <v>-1625.0462272783043</v>
      </c>
    </row>
    <row r="182" spans="1:18" x14ac:dyDescent="0.2">
      <c r="A182" s="124">
        <v>7</v>
      </c>
      <c r="B182" s="196">
        <f t="shared" si="45"/>
        <v>44743</v>
      </c>
      <c r="C182" s="217">
        <f t="shared" si="55"/>
        <v>44776</v>
      </c>
      <c r="D182" s="217">
        <f t="shared" si="55"/>
        <v>44796</v>
      </c>
      <c r="E182" s="54" t="s">
        <v>56</v>
      </c>
      <c r="F182" s="161">
        <v>9</v>
      </c>
      <c r="G182" s="198">
        <v>40</v>
      </c>
      <c r="H182" s="199">
        <f t="shared" si="46"/>
        <v>877.15</v>
      </c>
      <c r="I182" s="199">
        <f t="shared" si="57"/>
        <v>836.6</v>
      </c>
      <c r="J182" s="200">
        <f t="shared" si="47"/>
        <v>33464</v>
      </c>
      <c r="K182" s="207">
        <f t="shared" si="41"/>
        <v>35086</v>
      </c>
      <c r="L182" s="206">
        <f t="shared" si="56"/>
        <v>-1622</v>
      </c>
      <c r="M182" s="203">
        <f t="shared" si="48"/>
        <v>-88.574976082427852</v>
      </c>
      <c r="N182" s="204">
        <f t="shared" si="49"/>
        <v>-1710.5749760824278</v>
      </c>
      <c r="O182" s="203">
        <v>0</v>
      </c>
      <c r="P182" s="203">
        <v>0</v>
      </c>
      <c r="Q182" s="203">
        <v>0</v>
      </c>
      <c r="R182" s="204">
        <f t="shared" si="50"/>
        <v>-1710.5749760824278</v>
      </c>
    </row>
    <row r="183" spans="1:18" x14ac:dyDescent="0.2">
      <c r="A183" s="161">
        <v>8</v>
      </c>
      <c r="B183" s="196">
        <f t="shared" si="45"/>
        <v>44774</v>
      </c>
      <c r="C183" s="217">
        <f t="shared" si="55"/>
        <v>44809</v>
      </c>
      <c r="D183" s="217">
        <f t="shared" si="55"/>
        <v>44827</v>
      </c>
      <c r="E183" s="54" t="s">
        <v>56</v>
      </c>
      <c r="F183" s="161">
        <v>9</v>
      </c>
      <c r="G183" s="198">
        <v>38</v>
      </c>
      <c r="H183" s="199">
        <f t="shared" si="46"/>
        <v>877.15</v>
      </c>
      <c r="I183" s="199">
        <f t="shared" si="57"/>
        <v>836.6</v>
      </c>
      <c r="J183" s="200">
        <f t="shared" si="47"/>
        <v>31790.799999999999</v>
      </c>
      <c r="K183" s="207">
        <f t="shared" si="41"/>
        <v>33331.699999999997</v>
      </c>
      <c r="L183" s="206">
        <f t="shared" si="56"/>
        <v>-1540.8999999999978</v>
      </c>
      <c r="M183" s="203">
        <f t="shared" si="48"/>
        <v>-84.146227278306455</v>
      </c>
      <c r="N183" s="204">
        <f t="shared" si="49"/>
        <v>-1625.0462272783043</v>
      </c>
      <c r="O183" s="203">
        <v>0</v>
      </c>
      <c r="P183" s="203">
        <v>0</v>
      </c>
      <c r="Q183" s="203">
        <v>0</v>
      </c>
      <c r="R183" s="204">
        <f t="shared" si="50"/>
        <v>-1625.0462272783043</v>
      </c>
    </row>
    <row r="184" spans="1:18" x14ac:dyDescent="0.2">
      <c r="A184" s="161">
        <v>9</v>
      </c>
      <c r="B184" s="196">
        <f t="shared" si="45"/>
        <v>44805</v>
      </c>
      <c r="C184" s="217">
        <f t="shared" si="55"/>
        <v>44839</v>
      </c>
      <c r="D184" s="217">
        <f t="shared" si="55"/>
        <v>44859</v>
      </c>
      <c r="E184" s="54" t="s">
        <v>56</v>
      </c>
      <c r="F184" s="161">
        <v>9</v>
      </c>
      <c r="G184" s="198">
        <v>35</v>
      </c>
      <c r="H184" s="199">
        <f t="shared" si="46"/>
        <v>877.15</v>
      </c>
      <c r="I184" s="199">
        <f t="shared" si="57"/>
        <v>836.6</v>
      </c>
      <c r="J184" s="200">
        <f t="shared" si="47"/>
        <v>29281</v>
      </c>
      <c r="K184" s="207">
        <f t="shared" si="41"/>
        <v>30700.25</v>
      </c>
      <c r="L184" s="206">
        <f t="shared" si="56"/>
        <v>-1419.25</v>
      </c>
      <c r="M184" s="203">
        <f t="shared" si="48"/>
        <v>-77.503104072124373</v>
      </c>
      <c r="N184" s="204">
        <f t="shared" si="49"/>
        <v>-1496.7531040721244</v>
      </c>
      <c r="O184" s="203">
        <v>0</v>
      </c>
      <c r="P184" s="203">
        <v>0</v>
      </c>
      <c r="Q184" s="203">
        <v>0</v>
      </c>
      <c r="R184" s="204">
        <f t="shared" si="50"/>
        <v>-1496.7531040721244</v>
      </c>
    </row>
    <row r="185" spans="1:18" x14ac:dyDescent="0.2">
      <c r="A185" s="124">
        <v>10</v>
      </c>
      <c r="B185" s="196">
        <f t="shared" si="45"/>
        <v>44835</v>
      </c>
      <c r="C185" s="217">
        <f t="shared" si="55"/>
        <v>44868</v>
      </c>
      <c r="D185" s="217">
        <f t="shared" si="55"/>
        <v>44888</v>
      </c>
      <c r="E185" s="54" t="s">
        <v>56</v>
      </c>
      <c r="F185" s="161">
        <v>9</v>
      </c>
      <c r="G185" s="198">
        <v>23</v>
      </c>
      <c r="H185" s="199">
        <f t="shared" si="46"/>
        <v>877.15</v>
      </c>
      <c r="I185" s="199">
        <f t="shared" si="57"/>
        <v>836.6</v>
      </c>
      <c r="J185" s="200">
        <f t="shared" si="47"/>
        <v>19241.8</v>
      </c>
      <c r="K185" s="207">
        <f t="shared" si="41"/>
        <v>20174.45</v>
      </c>
      <c r="L185" s="206">
        <f t="shared" si="56"/>
        <v>-932.65000000000146</v>
      </c>
      <c r="M185" s="203">
        <f t="shared" si="48"/>
        <v>-50.930611247396016</v>
      </c>
      <c r="N185" s="204">
        <f t="shared" si="49"/>
        <v>-983.58061124739743</v>
      </c>
      <c r="O185" s="203">
        <v>0</v>
      </c>
      <c r="P185" s="203">
        <v>0</v>
      </c>
      <c r="Q185" s="203">
        <v>0</v>
      </c>
      <c r="R185" s="204">
        <f t="shared" si="50"/>
        <v>-983.58061124739743</v>
      </c>
    </row>
    <row r="186" spans="1:18" x14ac:dyDescent="0.2">
      <c r="A186" s="161">
        <v>11</v>
      </c>
      <c r="B186" s="196">
        <f t="shared" si="45"/>
        <v>44866</v>
      </c>
      <c r="C186" s="217">
        <f t="shared" si="55"/>
        <v>44900</v>
      </c>
      <c r="D186" s="217">
        <f t="shared" si="55"/>
        <v>44918</v>
      </c>
      <c r="E186" s="54" t="s">
        <v>56</v>
      </c>
      <c r="F186" s="161">
        <v>9</v>
      </c>
      <c r="G186" s="198">
        <v>18</v>
      </c>
      <c r="H186" s="199">
        <f t="shared" si="46"/>
        <v>877.15</v>
      </c>
      <c r="I186" s="199">
        <f t="shared" si="57"/>
        <v>836.6</v>
      </c>
      <c r="J186" s="200">
        <f t="shared" si="47"/>
        <v>15058.800000000001</v>
      </c>
      <c r="K186" s="207">
        <f t="shared" si="41"/>
        <v>15788.699999999999</v>
      </c>
      <c r="L186" s="206">
        <f t="shared" si="56"/>
        <v>-729.89999999999782</v>
      </c>
      <c r="M186" s="203">
        <f t="shared" si="48"/>
        <v>-39.858739237092536</v>
      </c>
      <c r="N186" s="204">
        <f t="shared" si="49"/>
        <v>-769.75873923709037</v>
      </c>
      <c r="O186" s="203">
        <v>0</v>
      </c>
      <c r="P186" s="203">
        <v>0</v>
      </c>
      <c r="Q186" s="203">
        <v>0</v>
      </c>
      <c r="R186" s="204">
        <f t="shared" si="50"/>
        <v>-769.75873923709037</v>
      </c>
    </row>
    <row r="187" spans="1:18" s="221" customFormat="1" x14ac:dyDescent="0.2">
      <c r="A187" s="161">
        <v>12</v>
      </c>
      <c r="B187" s="219">
        <f t="shared" si="45"/>
        <v>44896</v>
      </c>
      <c r="C187" s="222">
        <f t="shared" si="55"/>
        <v>44930</v>
      </c>
      <c r="D187" s="222">
        <f t="shared" si="55"/>
        <v>44950</v>
      </c>
      <c r="E187" s="220" t="s">
        <v>56</v>
      </c>
      <c r="F187" s="172">
        <v>9</v>
      </c>
      <c r="G187" s="208">
        <v>27</v>
      </c>
      <c r="H187" s="209">
        <f t="shared" si="46"/>
        <v>877.15</v>
      </c>
      <c r="I187" s="209">
        <f t="shared" si="57"/>
        <v>836.6</v>
      </c>
      <c r="J187" s="210">
        <f t="shared" si="47"/>
        <v>22588.2</v>
      </c>
      <c r="K187" s="211">
        <f t="shared" si="41"/>
        <v>23683.05</v>
      </c>
      <c r="L187" s="212">
        <f t="shared" si="56"/>
        <v>-1094.8499999999985</v>
      </c>
      <c r="M187" s="210">
        <f t="shared" si="48"/>
        <v>-59.788108855638804</v>
      </c>
      <c r="N187" s="235">
        <f t="shared" si="49"/>
        <v>-1154.6381088556373</v>
      </c>
      <c r="O187" s="210">
        <v>0</v>
      </c>
      <c r="P187" s="210">
        <v>0</v>
      </c>
      <c r="Q187" s="210">
        <v>0</v>
      </c>
      <c r="R187" s="235">
        <f t="shared" si="50"/>
        <v>-1154.6381088556373</v>
      </c>
    </row>
    <row r="188" spans="1:18" x14ac:dyDescent="0.2">
      <c r="A188" s="124">
        <v>1</v>
      </c>
      <c r="B188" s="196">
        <f t="shared" si="45"/>
        <v>44562</v>
      </c>
      <c r="C188" s="217">
        <f t="shared" ref="C188:D211" si="58">+C176</f>
        <v>44595</v>
      </c>
      <c r="D188" s="217">
        <f t="shared" si="58"/>
        <v>44615</v>
      </c>
      <c r="E188" s="197" t="s">
        <v>57</v>
      </c>
      <c r="F188" s="124">
        <v>9</v>
      </c>
      <c r="G188" s="198">
        <v>37</v>
      </c>
      <c r="H188" s="199">
        <f t="shared" si="46"/>
        <v>877.15</v>
      </c>
      <c r="I188" s="199">
        <f t="shared" si="57"/>
        <v>836.6</v>
      </c>
      <c r="J188" s="200">
        <f t="shared" si="47"/>
        <v>30954.2</v>
      </c>
      <c r="K188" s="201">
        <f t="shared" si="41"/>
        <v>32454.55</v>
      </c>
      <c r="L188" s="202">
        <f t="shared" si="56"/>
        <v>-1500.3499999999985</v>
      </c>
      <c r="M188" s="203">
        <f t="shared" si="48"/>
        <v>-81.931852876245756</v>
      </c>
      <c r="N188" s="204">
        <f t="shared" si="49"/>
        <v>-1582.2818528762443</v>
      </c>
      <c r="O188" s="203">
        <v>0</v>
      </c>
      <c r="P188" s="203">
        <v>0</v>
      </c>
      <c r="Q188" s="203">
        <v>0</v>
      </c>
      <c r="R188" s="204">
        <f t="shared" si="50"/>
        <v>-1582.2818528762443</v>
      </c>
    </row>
    <row r="189" spans="1:18" x14ac:dyDescent="0.2">
      <c r="A189" s="161">
        <v>2</v>
      </c>
      <c r="B189" s="196">
        <f t="shared" si="45"/>
        <v>44593</v>
      </c>
      <c r="C189" s="217">
        <f t="shared" si="58"/>
        <v>44623</v>
      </c>
      <c r="D189" s="217">
        <f t="shared" si="58"/>
        <v>44642</v>
      </c>
      <c r="E189" s="205" t="s">
        <v>57</v>
      </c>
      <c r="F189" s="161">
        <v>9</v>
      </c>
      <c r="G189" s="198">
        <v>37</v>
      </c>
      <c r="H189" s="199">
        <f t="shared" si="46"/>
        <v>877.15</v>
      </c>
      <c r="I189" s="199">
        <f t="shared" si="57"/>
        <v>836.6</v>
      </c>
      <c r="J189" s="200">
        <f t="shared" si="47"/>
        <v>30954.2</v>
      </c>
      <c r="K189" s="201">
        <f t="shared" si="41"/>
        <v>32454.55</v>
      </c>
      <c r="L189" s="202">
        <f t="shared" si="56"/>
        <v>-1500.3499999999985</v>
      </c>
      <c r="M189" s="203">
        <f t="shared" si="48"/>
        <v>-81.931852876245756</v>
      </c>
      <c r="N189" s="204">
        <f t="shared" si="49"/>
        <v>-1582.2818528762443</v>
      </c>
      <c r="O189" s="203">
        <v>0</v>
      </c>
      <c r="P189" s="203">
        <v>0</v>
      </c>
      <c r="Q189" s="203">
        <v>0</v>
      </c>
      <c r="R189" s="204">
        <f t="shared" si="50"/>
        <v>-1582.2818528762443</v>
      </c>
    </row>
    <row r="190" spans="1:18" x14ac:dyDescent="0.2">
      <c r="A190" s="161">
        <v>3</v>
      </c>
      <c r="B190" s="196">
        <f t="shared" si="45"/>
        <v>44621</v>
      </c>
      <c r="C190" s="217">
        <f t="shared" si="58"/>
        <v>44656</v>
      </c>
      <c r="D190" s="217">
        <f t="shared" si="58"/>
        <v>44676</v>
      </c>
      <c r="E190" s="205" t="s">
        <v>57</v>
      </c>
      <c r="F190" s="161">
        <v>9</v>
      </c>
      <c r="G190" s="198">
        <v>25</v>
      </c>
      <c r="H190" s="199">
        <f t="shared" si="46"/>
        <v>877.15</v>
      </c>
      <c r="I190" s="199">
        <f t="shared" si="57"/>
        <v>836.6</v>
      </c>
      <c r="J190" s="200">
        <f t="shared" si="47"/>
        <v>20915</v>
      </c>
      <c r="K190" s="201">
        <f t="shared" si="41"/>
        <v>21928.75</v>
      </c>
      <c r="L190" s="202">
        <f>+J190-K190</f>
        <v>-1013.75</v>
      </c>
      <c r="M190" s="203">
        <f t="shared" si="48"/>
        <v>-55.359360051517406</v>
      </c>
      <c r="N190" s="204">
        <f t="shared" si="49"/>
        <v>-1069.1093600515173</v>
      </c>
      <c r="O190" s="203">
        <v>0</v>
      </c>
      <c r="P190" s="203">
        <v>0</v>
      </c>
      <c r="Q190" s="203">
        <v>0</v>
      </c>
      <c r="R190" s="204">
        <f t="shared" si="50"/>
        <v>-1069.1093600515173</v>
      </c>
    </row>
    <row r="191" spans="1:18" x14ac:dyDescent="0.2">
      <c r="A191" s="124">
        <v>4</v>
      </c>
      <c r="B191" s="196">
        <f t="shared" si="45"/>
        <v>44652</v>
      </c>
      <c r="C191" s="217">
        <f t="shared" si="58"/>
        <v>44685</v>
      </c>
      <c r="D191" s="217">
        <f t="shared" si="58"/>
        <v>44705</v>
      </c>
      <c r="E191" s="54" t="s">
        <v>57</v>
      </c>
      <c r="F191" s="161">
        <v>9</v>
      </c>
      <c r="G191" s="198">
        <v>31</v>
      </c>
      <c r="H191" s="199">
        <f t="shared" si="46"/>
        <v>877.15</v>
      </c>
      <c r="I191" s="199">
        <f t="shared" si="57"/>
        <v>836.6</v>
      </c>
      <c r="J191" s="200">
        <f t="shared" si="47"/>
        <v>25934.600000000002</v>
      </c>
      <c r="K191" s="201">
        <f t="shared" si="41"/>
        <v>27191.649999999998</v>
      </c>
      <c r="L191" s="202">
        <f t="shared" ref="L191:L201" si="59">+J191-K191</f>
        <v>-1257.0499999999956</v>
      </c>
      <c r="M191" s="203">
        <f t="shared" si="48"/>
        <v>-68.645606463881577</v>
      </c>
      <c r="N191" s="204">
        <f t="shared" si="49"/>
        <v>-1325.6956064638773</v>
      </c>
      <c r="O191" s="203">
        <v>0</v>
      </c>
      <c r="P191" s="203">
        <v>0</v>
      </c>
      <c r="Q191" s="203">
        <v>0</v>
      </c>
      <c r="R191" s="204">
        <f t="shared" si="50"/>
        <v>-1325.6956064638773</v>
      </c>
    </row>
    <row r="192" spans="1:18" x14ac:dyDescent="0.2">
      <c r="A192" s="161">
        <v>5</v>
      </c>
      <c r="B192" s="196">
        <f t="shared" si="45"/>
        <v>44682</v>
      </c>
      <c r="C192" s="217">
        <f t="shared" si="58"/>
        <v>44715</v>
      </c>
      <c r="D192" s="217">
        <f t="shared" si="58"/>
        <v>44735</v>
      </c>
      <c r="E192" s="54" t="s">
        <v>57</v>
      </c>
      <c r="F192" s="161">
        <v>9</v>
      </c>
      <c r="G192" s="198">
        <v>40</v>
      </c>
      <c r="H192" s="199">
        <f t="shared" si="46"/>
        <v>877.15</v>
      </c>
      <c r="I192" s="199">
        <f t="shared" si="57"/>
        <v>836.6</v>
      </c>
      <c r="J192" s="200">
        <f t="shared" si="47"/>
        <v>33464</v>
      </c>
      <c r="K192" s="201">
        <f t="shared" si="41"/>
        <v>35086</v>
      </c>
      <c r="L192" s="202">
        <f t="shared" si="59"/>
        <v>-1622</v>
      </c>
      <c r="M192" s="203">
        <f t="shared" si="48"/>
        <v>-88.574976082427852</v>
      </c>
      <c r="N192" s="204">
        <f t="shared" si="49"/>
        <v>-1710.5749760824278</v>
      </c>
      <c r="O192" s="203">
        <v>0</v>
      </c>
      <c r="P192" s="203">
        <v>0</v>
      </c>
      <c r="Q192" s="203">
        <v>0</v>
      </c>
      <c r="R192" s="204">
        <f t="shared" si="50"/>
        <v>-1710.5749760824278</v>
      </c>
    </row>
    <row r="193" spans="1:18" x14ac:dyDescent="0.2">
      <c r="A193" s="161">
        <v>6</v>
      </c>
      <c r="B193" s="196">
        <f t="shared" si="45"/>
        <v>44713</v>
      </c>
      <c r="C193" s="217">
        <f t="shared" si="58"/>
        <v>44747</v>
      </c>
      <c r="D193" s="217">
        <f t="shared" si="58"/>
        <v>44767</v>
      </c>
      <c r="E193" s="54" t="s">
        <v>57</v>
      </c>
      <c r="F193" s="161">
        <v>9</v>
      </c>
      <c r="G193" s="198">
        <v>48</v>
      </c>
      <c r="H193" s="199">
        <f t="shared" si="46"/>
        <v>877.15</v>
      </c>
      <c r="I193" s="199">
        <f t="shared" si="57"/>
        <v>836.6</v>
      </c>
      <c r="J193" s="200">
        <f t="shared" si="47"/>
        <v>40156.800000000003</v>
      </c>
      <c r="K193" s="201">
        <f t="shared" si="41"/>
        <v>42103.199999999997</v>
      </c>
      <c r="L193" s="206">
        <f t="shared" si="59"/>
        <v>-1946.3999999999942</v>
      </c>
      <c r="M193" s="203">
        <f t="shared" si="48"/>
        <v>-106.28997129891341</v>
      </c>
      <c r="N193" s="204">
        <f t="shared" si="49"/>
        <v>-2052.6899712989075</v>
      </c>
      <c r="O193" s="203">
        <v>0</v>
      </c>
      <c r="P193" s="203">
        <v>0</v>
      </c>
      <c r="Q193" s="203">
        <v>0</v>
      </c>
      <c r="R193" s="204">
        <f t="shared" si="50"/>
        <v>-2052.6899712989075</v>
      </c>
    </row>
    <row r="194" spans="1:18" x14ac:dyDescent="0.2">
      <c r="A194" s="124">
        <v>7</v>
      </c>
      <c r="B194" s="196">
        <f t="shared" si="45"/>
        <v>44743</v>
      </c>
      <c r="C194" s="217">
        <f t="shared" si="58"/>
        <v>44776</v>
      </c>
      <c r="D194" s="217">
        <f t="shared" si="58"/>
        <v>44796</v>
      </c>
      <c r="E194" s="54" t="s">
        <v>57</v>
      </c>
      <c r="F194" s="161">
        <v>9</v>
      </c>
      <c r="G194" s="198">
        <v>52</v>
      </c>
      <c r="H194" s="199">
        <f t="shared" si="46"/>
        <v>877.15</v>
      </c>
      <c r="I194" s="199">
        <f t="shared" si="57"/>
        <v>836.6</v>
      </c>
      <c r="J194" s="200">
        <f t="shared" si="47"/>
        <v>43503.200000000004</v>
      </c>
      <c r="K194" s="207">
        <f t="shared" si="41"/>
        <v>45611.799999999996</v>
      </c>
      <c r="L194" s="206">
        <f t="shared" si="59"/>
        <v>-2108.5999999999913</v>
      </c>
      <c r="M194" s="203">
        <f t="shared" si="48"/>
        <v>-115.1474689071562</v>
      </c>
      <c r="N194" s="204">
        <f t="shared" si="49"/>
        <v>-2223.7474689071473</v>
      </c>
      <c r="O194" s="203">
        <v>0</v>
      </c>
      <c r="P194" s="203">
        <v>0</v>
      </c>
      <c r="Q194" s="203">
        <v>0</v>
      </c>
      <c r="R194" s="204">
        <f t="shared" si="50"/>
        <v>-2223.7474689071473</v>
      </c>
    </row>
    <row r="195" spans="1:18" x14ac:dyDescent="0.2">
      <c r="A195" s="161">
        <v>8</v>
      </c>
      <c r="B195" s="196">
        <f t="shared" si="45"/>
        <v>44774</v>
      </c>
      <c r="C195" s="217">
        <f t="shared" si="58"/>
        <v>44809</v>
      </c>
      <c r="D195" s="217">
        <f t="shared" si="58"/>
        <v>44827</v>
      </c>
      <c r="E195" s="54" t="s">
        <v>57</v>
      </c>
      <c r="F195" s="161">
        <v>9</v>
      </c>
      <c r="G195" s="198">
        <v>50</v>
      </c>
      <c r="H195" s="199">
        <f t="shared" si="46"/>
        <v>877.15</v>
      </c>
      <c r="I195" s="199">
        <f t="shared" si="57"/>
        <v>836.6</v>
      </c>
      <c r="J195" s="200">
        <f t="shared" si="47"/>
        <v>41830</v>
      </c>
      <c r="K195" s="207">
        <f t="shared" si="41"/>
        <v>43857.5</v>
      </c>
      <c r="L195" s="206">
        <f t="shared" si="59"/>
        <v>-2027.5</v>
      </c>
      <c r="M195" s="203">
        <f t="shared" si="48"/>
        <v>-110.71872010303481</v>
      </c>
      <c r="N195" s="204">
        <f t="shared" si="49"/>
        <v>-2138.2187201030347</v>
      </c>
      <c r="O195" s="203">
        <v>0</v>
      </c>
      <c r="P195" s="203">
        <v>0</v>
      </c>
      <c r="Q195" s="203">
        <v>0</v>
      </c>
      <c r="R195" s="204">
        <f t="shared" si="50"/>
        <v>-2138.2187201030347</v>
      </c>
    </row>
    <row r="196" spans="1:18" x14ac:dyDescent="0.2">
      <c r="A196" s="161">
        <v>9</v>
      </c>
      <c r="B196" s="196">
        <f t="shared" si="45"/>
        <v>44805</v>
      </c>
      <c r="C196" s="217">
        <f t="shared" si="58"/>
        <v>44839</v>
      </c>
      <c r="D196" s="217">
        <f t="shared" si="58"/>
        <v>44859</v>
      </c>
      <c r="E196" s="54" t="s">
        <v>57</v>
      </c>
      <c r="F196" s="161">
        <v>9</v>
      </c>
      <c r="G196" s="198">
        <v>47</v>
      </c>
      <c r="H196" s="199">
        <f t="shared" si="46"/>
        <v>877.15</v>
      </c>
      <c r="I196" s="199">
        <f t="shared" si="57"/>
        <v>836.6</v>
      </c>
      <c r="J196" s="200">
        <f t="shared" si="47"/>
        <v>39320.200000000004</v>
      </c>
      <c r="K196" s="207">
        <f t="shared" si="41"/>
        <v>41226.049999999996</v>
      </c>
      <c r="L196" s="206">
        <f t="shared" si="59"/>
        <v>-1905.8499999999913</v>
      </c>
      <c r="M196" s="203">
        <f t="shared" si="48"/>
        <v>-104.07559689685273</v>
      </c>
      <c r="N196" s="204">
        <f t="shared" si="49"/>
        <v>-2009.9255968968439</v>
      </c>
      <c r="O196" s="203">
        <v>0</v>
      </c>
      <c r="P196" s="203">
        <v>0</v>
      </c>
      <c r="Q196" s="203">
        <v>0</v>
      </c>
      <c r="R196" s="204">
        <f t="shared" si="50"/>
        <v>-2009.9255968968439</v>
      </c>
    </row>
    <row r="197" spans="1:18" x14ac:dyDescent="0.2">
      <c r="A197" s="124">
        <v>10</v>
      </c>
      <c r="B197" s="196">
        <f t="shared" si="45"/>
        <v>44835</v>
      </c>
      <c r="C197" s="217">
        <f t="shared" si="58"/>
        <v>44868</v>
      </c>
      <c r="D197" s="217">
        <f t="shared" si="58"/>
        <v>44888</v>
      </c>
      <c r="E197" s="54" t="s">
        <v>57</v>
      </c>
      <c r="F197" s="161">
        <v>9</v>
      </c>
      <c r="G197" s="198">
        <v>35</v>
      </c>
      <c r="H197" s="199">
        <f t="shared" si="46"/>
        <v>877.15</v>
      </c>
      <c r="I197" s="199">
        <f t="shared" si="57"/>
        <v>836.6</v>
      </c>
      <c r="J197" s="200">
        <f t="shared" si="47"/>
        <v>29281</v>
      </c>
      <c r="K197" s="207">
        <f t="shared" si="41"/>
        <v>30700.25</v>
      </c>
      <c r="L197" s="206">
        <f t="shared" si="59"/>
        <v>-1419.25</v>
      </c>
      <c r="M197" s="203">
        <f t="shared" si="48"/>
        <v>-77.503104072124373</v>
      </c>
      <c r="N197" s="204">
        <f t="shared" si="49"/>
        <v>-1496.7531040721244</v>
      </c>
      <c r="O197" s="203">
        <v>0</v>
      </c>
      <c r="P197" s="203">
        <v>0</v>
      </c>
      <c r="Q197" s="203">
        <v>0</v>
      </c>
      <c r="R197" s="204">
        <f t="shared" si="50"/>
        <v>-1496.7531040721244</v>
      </c>
    </row>
    <row r="198" spans="1:18" x14ac:dyDescent="0.2">
      <c r="A198" s="161">
        <v>11</v>
      </c>
      <c r="B198" s="196">
        <f t="shared" si="45"/>
        <v>44866</v>
      </c>
      <c r="C198" s="217">
        <f t="shared" si="58"/>
        <v>44900</v>
      </c>
      <c r="D198" s="217">
        <f t="shared" si="58"/>
        <v>44918</v>
      </c>
      <c r="E198" s="54" t="s">
        <v>57</v>
      </c>
      <c r="F198" s="161">
        <v>9</v>
      </c>
      <c r="G198" s="198">
        <v>34</v>
      </c>
      <c r="H198" s="199">
        <f t="shared" si="46"/>
        <v>877.15</v>
      </c>
      <c r="I198" s="199">
        <f t="shared" si="57"/>
        <v>836.6</v>
      </c>
      <c r="J198" s="200">
        <f t="shared" si="47"/>
        <v>28444.400000000001</v>
      </c>
      <c r="K198" s="207">
        <f t="shared" ref="K198:K209" si="60">+$G198*H198</f>
        <v>29823.1</v>
      </c>
      <c r="L198" s="206">
        <f t="shared" si="59"/>
        <v>-1378.6999999999971</v>
      </c>
      <c r="M198" s="203">
        <f t="shared" si="48"/>
        <v>-75.288729670063674</v>
      </c>
      <c r="N198" s="204">
        <f t="shared" si="49"/>
        <v>-1453.9887296700608</v>
      </c>
      <c r="O198" s="203">
        <v>0</v>
      </c>
      <c r="P198" s="203">
        <v>0</v>
      </c>
      <c r="Q198" s="203">
        <v>0</v>
      </c>
      <c r="R198" s="204">
        <f t="shared" si="50"/>
        <v>-1453.9887296700608</v>
      </c>
    </row>
    <row r="199" spans="1:18" s="221" customFormat="1" x14ac:dyDescent="0.2">
      <c r="A199" s="161">
        <v>12</v>
      </c>
      <c r="B199" s="219">
        <f t="shared" si="45"/>
        <v>44896</v>
      </c>
      <c r="C199" s="217">
        <f t="shared" si="58"/>
        <v>44930</v>
      </c>
      <c r="D199" s="217">
        <f t="shared" si="58"/>
        <v>44950</v>
      </c>
      <c r="E199" s="220" t="s">
        <v>57</v>
      </c>
      <c r="F199" s="172">
        <v>9</v>
      </c>
      <c r="G199" s="208">
        <v>34</v>
      </c>
      <c r="H199" s="209">
        <f t="shared" si="46"/>
        <v>877.15</v>
      </c>
      <c r="I199" s="209">
        <f t="shared" si="57"/>
        <v>836.6</v>
      </c>
      <c r="J199" s="210">
        <f t="shared" si="47"/>
        <v>28444.400000000001</v>
      </c>
      <c r="K199" s="211">
        <f t="shared" si="60"/>
        <v>29823.1</v>
      </c>
      <c r="L199" s="212">
        <f t="shared" si="59"/>
        <v>-1378.6999999999971</v>
      </c>
      <c r="M199" s="203">
        <f t="shared" si="48"/>
        <v>-75.288729670063674</v>
      </c>
      <c r="N199" s="204">
        <f t="shared" si="49"/>
        <v>-1453.9887296700608</v>
      </c>
      <c r="O199" s="203">
        <v>0</v>
      </c>
      <c r="P199" s="203">
        <v>0</v>
      </c>
      <c r="Q199" s="203">
        <v>0</v>
      </c>
      <c r="R199" s="204">
        <f t="shared" si="50"/>
        <v>-1453.9887296700608</v>
      </c>
    </row>
    <row r="200" spans="1:18" x14ac:dyDescent="0.2">
      <c r="A200" s="124">
        <v>1</v>
      </c>
      <c r="B200" s="196">
        <f t="shared" si="45"/>
        <v>44562</v>
      </c>
      <c r="C200" s="214">
        <f t="shared" si="58"/>
        <v>44595</v>
      </c>
      <c r="D200" s="214">
        <f t="shared" si="58"/>
        <v>44615</v>
      </c>
      <c r="E200" s="197" t="s">
        <v>17</v>
      </c>
      <c r="F200" s="124">
        <v>9</v>
      </c>
      <c r="G200" s="198">
        <v>106</v>
      </c>
      <c r="H200" s="199">
        <f t="shared" si="46"/>
        <v>877.15</v>
      </c>
      <c r="I200" s="199">
        <f t="shared" si="57"/>
        <v>836.6</v>
      </c>
      <c r="J200" s="200">
        <f t="shared" si="47"/>
        <v>88679.6</v>
      </c>
      <c r="K200" s="201">
        <f t="shared" si="60"/>
        <v>92977.9</v>
      </c>
      <c r="L200" s="202">
        <f t="shared" si="59"/>
        <v>-4298.2999999999884</v>
      </c>
      <c r="M200" s="203">
        <f t="shared" si="48"/>
        <v>-234.72368661843382</v>
      </c>
      <c r="N200" s="204">
        <f t="shared" si="49"/>
        <v>-4533.0236866184223</v>
      </c>
      <c r="O200" s="203">
        <v>0</v>
      </c>
      <c r="P200" s="203">
        <v>0</v>
      </c>
      <c r="Q200" s="203">
        <v>0</v>
      </c>
      <c r="R200" s="204">
        <f t="shared" si="50"/>
        <v>-4533.0236866184223</v>
      </c>
    </row>
    <row r="201" spans="1:18" x14ac:dyDescent="0.2">
      <c r="A201" s="161">
        <v>2</v>
      </c>
      <c r="B201" s="196">
        <f t="shared" si="45"/>
        <v>44593</v>
      </c>
      <c r="C201" s="217">
        <f t="shared" si="58"/>
        <v>44623</v>
      </c>
      <c r="D201" s="217">
        <f t="shared" si="58"/>
        <v>44642</v>
      </c>
      <c r="E201" s="205" t="s">
        <v>17</v>
      </c>
      <c r="F201" s="161">
        <v>9</v>
      </c>
      <c r="G201" s="198">
        <v>101</v>
      </c>
      <c r="H201" s="199">
        <f t="shared" si="46"/>
        <v>877.15</v>
      </c>
      <c r="I201" s="199">
        <f t="shared" si="57"/>
        <v>836.6</v>
      </c>
      <c r="J201" s="200">
        <f t="shared" si="47"/>
        <v>84496.6</v>
      </c>
      <c r="K201" s="201">
        <f t="shared" si="60"/>
        <v>88592.15</v>
      </c>
      <c r="L201" s="202">
        <f t="shared" si="59"/>
        <v>-4095.5499999999884</v>
      </c>
      <c r="M201" s="203">
        <f t="shared" si="48"/>
        <v>-223.65181460813031</v>
      </c>
      <c r="N201" s="204">
        <f t="shared" si="49"/>
        <v>-4319.2018146081191</v>
      </c>
      <c r="O201" s="203">
        <v>0</v>
      </c>
      <c r="P201" s="203">
        <v>0</v>
      </c>
      <c r="Q201" s="203">
        <v>0</v>
      </c>
      <c r="R201" s="204">
        <f t="shared" si="50"/>
        <v>-4319.2018146081191</v>
      </c>
    </row>
    <row r="202" spans="1:18" x14ac:dyDescent="0.2">
      <c r="A202" s="161">
        <v>3</v>
      </c>
      <c r="B202" s="196">
        <f t="shared" si="45"/>
        <v>44621</v>
      </c>
      <c r="C202" s="217">
        <f t="shared" si="58"/>
        <v>44656</v>
      </c>
      <c r="D202" s="217">
        <f t="shared" si="58"/>
        <v>44676</v>
      </c>
      <c r="E202" s="205" t="s">
        <v>17</v>
      </c>
      <c r="F202" s="161">
        <v>9</v>
      </c>
      <c r="G202" s="198">
        <v>97</v>
      </c>
      <c r="H202" s="199">
        <f t="shared" si="46"/>
        <v>877.15</v>
      </c>
      <c r="I202" s="199">
        <f t="shared" si="57"/>
        <v>836.6</v>
      </c>
      <c r="J202" s="200">
        <f t="shared" si="47"/>
        <v>81150.2</v>
      </c>
      <c r="K202" s="201">
        <f t="shared" si="60"/>
        <v>85083.55</v>
      </c>
      <c r="L202" s="202">
        <f>+J202-K202</f>
        <v>-3933.3500000000058</v>
      </c>
      <c r="M202" s="203">
        <f t="shared" si="48"/>
        <v>-214.79431699988754</v>
      </c>
      <c r="N202" s="204">
        <f t="shared" si="49"/>
        <v>-4148.1443169998929</v>
      </c>
      <c r="O202" s="203">
        <v>0</v>
      </c>
      <c r="P202" s="203">
        <v>0</v>
      </c>
      <c r="Q202" s="203">
        <v>0</v>
      </c>
      <c r="R202" s="204">
        <f t="shared" si="50"/>
        <v>-4148.1443169998929</v>
      </c>
    </row>
    <row r="203" spans="1:18" x14ac:dyDescent="0.2">
      <c r="A203" s="124">
        <v>4</v>
      </c>
      <c r="B203" s="196">
        <f t="shared" si="45"/>
        <v>44652</v>
      </c>
      <c r="C203" s="217">
        <f t="shared" si="58"/>
        <v>44685</v>
      </c>
      <c r="D203" s="217">
        <f t="shared" si="58"/>
        <v>44705</v>
      </c>
      <c r="E203" s="205" t="s">
        <v>17</v>
      </c>
      <c r="F203" s="161">
        <v>9</v>
      </c>
      <c r="G203" s="198">
        <v>98</v>
      </c>
      <c r="H203" s="199">
        <f t="shared" si="46"/>
        <v>877.15</v>
      </c>
      <c r="I203" s="199">
        <f t="shared" si="57"/>
        <v>836.6</v>
      </c>
      <c r="J203" s="200">
        <f t="shared" si="47"/>
        <v>81986.8</v>
      </c>
      <c r="K203" s="201">
        <f t="shared" si="60"/>
        <v>85960.7</v>
      </c>
      <c r="L203" s="202">
        <f t="shared" ref="L203:L211" si="61">+J203-K203</f>
        <v>-3973.8999999999942</v>
      </c>
      <c r="M203" s="203">
        <f t="shared" si="48"/>
        <v>-217.00869140194823</v>
      </c>
      <c r="N203" s="204">
        <f t="shared" si="49"/>
        <v>-4190.9086914019426</v>
      </c>
      <c r="O203" s="203">
        <v>0</v>
      </c>
      <c r="P203" s="203">
        <v>0</v>
      </c>
      <c r="Q203" s="203">
        <v>0</v>
      </c>
      <c r="R203" s="204">
        <f t="shared" si="50"/>
        <v>-4190.9086914019426</v>
      </c>
    </row>
    <row r="204" spans="1:18" x14ac:dyDescent="0.2">
      <c r="A204" s="161">
        <v>5</v>
      </c>
      <c r="B204" s="196">
        <f t="shared" si="45"/>
        <v>44682</v>
      </c>
      <c r="C204" s="217">
        <f t="shared" si="58"/>
        <v>44715</v>
      </c>
      <c r="D204" s="217">
        <f t="shared" si="58"/>
        <v>44735</v>
      </c>
      <c r="E204" s="54" t="s">
        <v>17</v>
      </c>
      <c r="F204" s="161">
        <v>9</v>
      </c>
      <c r="G204" s="198">
        <v>104</v>
      </c>
      <c r="H204" s="199">
        <f t="shared" si="46"/>
        <v>877.15</v>
      </c>
      <c r="I204" s="199">
        <f t="shared" si="57"/>
        <v>836.6</v>
      </c>
      <c r="J204" s="200">
        <f t="shared" si="47"/>
        <v>87006.400000000009</v>
      </c>
      <c r="K204" s="201">
        <f t="shared" si="60"/>
        <v>91223.599999999991</v>
      </c>
      <c r="L204" s="202">
        <f t="shared" si="61"/>
        <v>-4217.1999999999825</v>
      </c>
      <c r="M204" s="203">
        <f t="shared" si="48"/>
        <v>-230.29493781431239</v>
      </c>
      <c r="N204" s="204">
        <f t="shared" si="49"/>
        <v>-4447.4949378142946</v>
      </c>
      <c r="O204" s="203">
        <v>0</v>
      </c>
      <c r="P204" s="203">
        <v>0</v>
      </c>
      <c r="Q204" s="203">
        <v>0</v>
      </c>
      <c r="R204" s="204">
        <f t="shared" si="50"/>
        <v>-4447.4949378142946</v>
      </c>
    </row>
    <row r="205" spans="1:18" x14ac:dyDescent="0.2">
      <c r="A205" s="161">
        <v>6</v>
      </c>
      <c r="B205" s="196">
        <f t="shared" si="45"/>
        <v>44713</v>
      </c>
      <c r="C205" s="217">
        <f t="shared" si="58"/>
        <v>44747</v>
      </c>
      <c r="D205" s="217">
        <f t="shared" si="58"/>
        <v>44767</v>
      </c>
      <c r="E205" s="54" t="s">
        <v>17</v>
      </c>
      <c r="F205" s="161">
        <v>9</v>
      </c>
      <c r="G205" s="198">
        <v>115</v>
      </c>
      <c r="H205" s="199">
        <f t="shared" si="46"/>
        <v>877.15</v>
      </c>
      <c r="I205" s="199">
        <f t="shared" si="57"/>
        <v>836.6</v>
      </c>
      <c r="J205" s="200">
        <f t="shared" si="47"/>
        <v>96209</v>
      </c>
      <c r="K205" s="201">
        <f t="shared" si="60"/>
        <v>100872.25</v>
      </c>
      <c r="L205" s="206">
        <f t="shared" si="61"/>
        <v>-4663.25</v>
      </c>
      <c r="M205" s="203">
        <f t="shared" si="48"/>
        <v>-254.65305623698009</v>
      </c>
      <c r="N205" s="204">
        <f t="shared" si="49"/>
        <v>-4917.9030562369799</v>
      </c>
      <c r="O205" s="203">
        <v>0</v>
      </c>
      <c r="P205" s="203">
        <v>0</v>
      </c>
      <c r="Q205" s="203">
        <v>0</v>
      </c>
      <c r="R205" s="204">
        <f t="shared" si="50"/>
        <v>-4917.9030562369799</v>
      </c>
    </row>
    <row r="206" spans="1:18" x14ac:dyDescent="0.2">
      <c r="A206" s="124">
        <v>7</v>
      </c>
      <c r="B206" s="196">
        <f t="shared" si="45"/>
        <v>44743</v>
      </c>
      <c r="C206" s="217">
        <f t="shared" si="58"/>
        <v>44776</v>
      </c>
      <c r="D206" s="217">
        <f t="shared" si="58"/>
        <v>44796</v>
      </c>
      <c r="E206" s="54" t="s">
        <v>17</v>
      </c>
      <c r="F206" s="161">
        <v>9</v>
      </c>
      <c r="G206" s="198">
        <v>42</v>
      </c>
      <c r="H206" s="199">
        <f t="shared" si="46"/>
        <v>877.15</v>
      </c>
      <c r="I206" s="199">
        <f t="shared" si="57"/>
        <v>836.6</v>
      </c>
      <c r="J206" s="200">
        <f t="shared" si="47"/>
        <v>35137.200000000004</v>
      </c>
      <c r="K206" s="207">
        <f t="shared" si="60"/>
        <v>36840.299999999996</v>
      </c>
      <c r="L206" s="206">
        <f t="shared" si="61"/>
        <v>-1703.0999999999913</v>
      </c>
      <c r="M206" s="203">
        <f t="shared" si="48"/>
        <v>-93.00372488654925</v>
      </c>
      <c r="N206" s="204">
        <f t="shared" si="49"/>
        <v>-1796.1037248865405</v>
      </c>
      <c r="O206" s="203">
        <v>0</v>
      </c>
      <c r="P206" s="203">
        <v>0</v>
      </c>
      <c r="Q206" s="203">
        <v>0</v>
      </c>
      <c r="R206" s="204">
        <f t="shared" si="50"/>
        <v>-1796.1037248865405</v>
      </c>
    </row>
    <row r="207" spans="1:18" x14ac:dyDescent="0.2">
      <c r="A207" s="161">
        <v>8</v>
      </c>
      <c r="B207" s="196">
        <f t="shared" si="45"/>
        <v>44774</v>
      </c>
      <c r="C207" s="217">
        <f t="shared" si="58"/>
        <v>44809</v>
      </c>
      <c r="D207" s="217">
        <f t="shared" si="58"/>
        <v>44827</v>
      </c>
      <c r="E207" s="54" t="s">
        <v>17</v>
      </c>
      <c r="F207" s="161">
        <v>9</v>
      </c>
      <c r="G207" s="198">
        <v>41</v>
      </c>
      <c r="H207" s="199">
        <f t="shared" si="46"/>
        <v>877.15</v>
      </c>
      <c r="I207" s="199">
        <f t="shared" si="57"/>
        <v>836.6</v>
      </c>
      <c r="J207" s="200">
        <f t="shared" si="47"/>
        <v>34300.6</v>
      </c>
      <c r="K207" s="207">
        <f t="shared" si="60"/>
        <v>35963.15</v>
      </c>
      <c r="L207" s="206">
        <f t="shared" si="61"/>
        <v>-1662.5500000000029</v>
      </c>
      <c r="M207" s="203">
        <f t="shared" si="48"/>
        <v>-90.789350484488537</v>
      </c>
      <c r="N207" s="204">
        <f t="shared" si="49"/>
        <v>-1753.3393504844914</v>
      </c>
      <c r="O207" s="203">
        <v>0</v>
      </c>
      <c r="P207" s="203">
        <v>0</v>
      </c>
      <c r="Q207" s="203">
        <v>0</v>
      </c>
      <c r="R207" s="204">
        <f t="shared" si="50"/>
        <v>-1753.3393504844914</v>
      </c>
    </row>
    <row r="208" spans="1:18" x14ac:dyDescent="0.2">
      <c r="A208" s="161">
        <v>9</v>
      </c>
      <c r="B208" s="196">
        <f t="shared" si="45"/>
        <v>44805</v>
      </c>
      <c r="C208" s="217">
        <f t="shared" si="58"/>
        <v>44839</v>
      </c>
      <c r="D208" s="217">
        <f t="shared" si="58"/>
        <v>44859</v>
      </c>
      <c r="E208" s="54" t="s">
        <v>17</v>
      </c>
      <c r="F208" s="161">
        <v>9</v>
      </c>
      <c r="G208" s="198">
        <v>115</v>
      </c>
      <c r="H208" s="199">
        <f t="shared" si="46"/>
        <v>877.15</v>
      </c>
      <c r="I208" s="199">
        <f t="shared" si="57"/>
        <v>836.6</v>
      </c>
      <c r="J208" s="200">
        <f t="shared" si="47"/>
        <v>96209</v>
      </c>
      <c r="K208" s="207">
        <f t="shared" si="60"/>
        <v>100872.25</v>
      </c>
      <c r="L208" s="206">
        <f t="shared" si="61"/>
        <v>-4663.25</v>
      </c>
      <c r="M208" s="203">
        <f t="shared" si="48"/>
        <v>-254.65305623698009</v>
      </c>
      <c r="N208" s="204">
        <f t="shared" si="49"/>
        <v>-4917.9030562369799</v>
      </c>
      <c r="O208" s="203">
        <v>0</v>
      </c>
      <c r="P208" s="203">
        <v>0</v>
      </c>
      <c r="Q208" s="203">
        <v>0</v>
      </c>
      <c r="R208" s="204">
        <f t="shared" si="50"/>
        <v>-4917.9030562369799</v>
      </c>
    </row>
    <row r="209" spans="1:18" x14ac:dyDescent="0.2">
      <c r="A209" s="124">
        <v>10</v>
      </c>
      <c r="B209" s="196">
        <f t="shared" si="45"/>
        <v>44835</v>
      </c>
      <c r="C209" s="217">
        <f t="shared" si="58"/>
        <v>44868</v>
      </c>
      <c r="D209" s="217">
        <f t="shared" si="58"/>
        <v>44888</v>
      </c>
      <c r="E209" s="54" t="s">
        <v>17</v>
      </c>
      <c r="F209" s="161">
        <v>9</v>
      </c>
      <c r="G209" s="198">
        <v>105</v>
      </c>
      <c r="H209" s="199">
        <f t="shared" si="46"/>
        <v>877.15</v>
      </c>
      <c r="I209" s="199">
        <f t="shared" si="57"/>
        <v>836.6</v>
      </c>
      <c r="J209" s="200">
        <f t="shared" si="47"/>
        <v>87843</v>
      </c>
      <c r="K209" s="207">
        <f t="shared" si="60"/>
        <v>92100.75</v>
      </c>
      <c r="L209" s="206">
        <f t="shared" si="61"/>
        <v>-4257.75</v>
      </c>
      <c r="M209" s="203">
        <f t="shared" si="48"/>
        <v>-232.50931221637313</v>
      </c>
      <c r="N209" s="204">
        <f t="shared" si="49"/>
        <v>-4490.2593122163735</v>
      </c>
      <c r="O209" s="203">
        <v>0</v>
      </c>
      <c r="P209" s="203">
        <v>0</v>
      </c>
      <c r="Q209" s="203">
        <v>0</v>
      </c>
      <c r="R209" s="204">
        <f t="shared" si="50"/>
        <v>-4490.2593122163735</v>
      </c>
    </row>
    <row r="210" spans="1:18" x14ac:dyDescent="0.2">
      <c r="A210" s="161">
        <v>11</v>
      </c>
      <c r="B210" s="196">
        <f t="shared" si="45"/>
        <v>44866</v>
      </c>
      <c r="C210" s="217">
        <f t="shared" si="58"/>
        <v>44900</v>
      </c>
      <c r="D210" s="217">
        <f t="shared" si="58"/>
        <v>44918</v>
      </c>
      <c r="E210" s="54" t="s">
        <v>17</v>
      </c>
      <c r="F210" s="161">
        <v>9</v>
      </c>
      <c r="G210" s="198">
        <v>104</v>
      </c>
      <c r="H210" s="199">
        <f t="shared" si="46"/>
        <v>877.15</v>
      </c>
      <c r="I210" s="199">
        <f t="shared" si="57"/>
        <v>836.6</v>
      </c>
      <c r="J210" s="200">
        <f t="shared" si="47"/>
        <v>87006.400000000009</v>
      </c>
      <c r="K210" s="207">
        <f>+$G210*H210</f>
        <v>91223.599999999991</v>
      </c>
      <c r="L210" s="206">
        <f t="shared" si="61"/>
        <v>-4217.1999999999825</v>
      </c>
      <c r="M210" s="203">
        <f t="shared" si="48"/>
        <v>-230.29493781431239</v>
      </c>
      <c r="N210" s="204">
        <f t="shared" si="49"/>
        <v>-4447.4949378142946</v>
      </c>
      <c r="O210" s="203">
        <v>0</v>
      </c>
      <c r="P210" s="203">
        <v>0</v>
      </c>
      <c r="Q210" s="203">
        <v>0</v>
      </c>
      <c r="R210" s="204">
        <f t="shared" si="50"/>
        <v>-4447.4949378142946</v>
      </c>
    </row>
    <row r="211" spans="1:18" s="221" customFormat="1" x14ac:dyDescent="0.2">
      <c r="A211" s="161">
        <v>12</v>
      </c>
      <c r="B211" s="219">
        <f t="shared" si="45"/>
        <v>44896</v>
      </c>
      <c r="C211" s="222">
        <f t="shared" si="58"/>
        <v>44930</v>
      </c>
      <c r="D211" s="222">
        <f t="shared" si="58"/>
        <v>44950</v>
      </c>
      <c r="E211" s="220" t="s">
        <v>17</v>
      </c>
      <c r="F211" s="172">
        <v>9</v>
      </c>
      <c r="G211" s="208">
        <v>104</v>
      </c>
      <c r="H211" s="209">
        <f t="shared" si="46"/>
        <v>877.15</v>
      </c>
      <c r="I211" s="209">
        <f t="shared" si="57"/>
        <v>836.6</v>
      </c>
      <c r="J211" s="210">
        <f t="shared" si="47"/>
        <v>87006.400000000009</v>
      </c>
      <c r="K211" s="211">
        <f>+$G211*H211</f>
        <v>91223.599999999991</v>
      </c>
      <c r="L211" s="212">
        <f t="shared" si="61"/>
        <v>-4217.1999999999825</v>
      </c>
      <c r="M211" s="210">
        <f t="shared" si="48"/>
        <v>-230.29493781431239</v>
      </c>
      <c r="N211" s="204">
        <f t="shared" si="49"/>
        <v>-4447.4949378142946</v>
      </c>
      <c r="O211" s="203">
        <v>0</v>
      </c>
      <c r="P211" s="203">
        <v>0</v>
      </c>
      <c r="Q211" s="203">
        <v>0</v>
      </c>
      <c r="R211" s="204">
        <f t="shared" si="50"/>
        <v>-4447.4949378142946</v>
      </c>
    </row>
    <row r="212" spans="1:18" x14ac:dyDescent="0.2">
      <c r="G212" s="227">
        <f>SUM(G20:G211)</f>
        <v>104674</v>
      </c>
      <c r="H212" s="51"/>
      <c r="I212" s="51"/>
      <c r="J212" s="51">
        <f>SUM(J20:J211)</f>
        <v>87570268.400000036</v>
      </c>
      <c r="K212" s="51">
        <f>SUM(K20:K211)</f>
        <v>91814799.099999964</v>
      </c>
      <c r="L212" s="51">
        <f>SUM(L20:L211)</f>
        <v>-4244530.6999999937</v>
      </c>
      <c r="M212" s="51">
        <f>SUM(M20:M211)</f>
        <v>-231787.42616130132</v>
      </c>
      <c r="N212" s="51"/>
      <c r="O212" s="51"/>
      <c r="P212" s="51">
        <f>SUM(P20:P211)</f>
        <v>0</v>
      </c>
      <c r="Q212" s="51"/>
      <c r="R212" s="228">
        <f>SUM(R20:R211)</f>
        <v>-4476318.1261612894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DozN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joxMC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E3D43697-9F71-49FA-BC17-9790EE502BD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49A4F17-2472-467B-A4F7-A66EA6C2EFC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s349016</cp:lastModifiedBy>
  <cp:lastPrinted>2023-05-24T19:48:50Z</cp:lastPrinted>
  <dcterms:created xsi:type="dcterms:W3CDTF">2009-09-04T18:19:13Z</dcterms:created>
  <dcterms:modified xsi:type="dcterms:W3CDTF">2023-05-24T19:49:09Z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4e4d00fa-2934-471b-88ac-5bd852cdb2aa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{E3D43697-9F71-49FA-BC17-9790EE502BD4}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